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60" windowHeight="6540" activeTab="0"/>
  </bookViews>
  <sheets>
    <sheet name="Sheet1" sheetId="1" r:id="rId1"/>
    <sheet name="Units, Constants &amp; Conversions" sheetId="2" r:id="rId2"/>
  </sheets>
  <definedNames/>
  <calcPr fullCalcOnLoad="1"/>
</workbook>
</file>

<file path=xl/sharedStrings.xml><?xml version="1.0" encoding="utf-8"?>
<sst xmlns="http://schemas.openxmlformats.org/spreadsheetml/2006/main" count="256" uniqueCount="161">
  <si>
    <t>Units, Constants &amp; Conversions</t>
  </si>
  <si>
    <t>Avogadro</t>
  </si>
  <si>
    <t>Pi</t>
  </si>
  <si>
    <t>e</t>
  </si>
  <si>
    <t>c</t>
  </si>
  <si>
    <t>m/sec</t>
  </si>
  <si>
    <t>q(e)</t>
  </si>
  <si>
    <t>C</t>
  </si>
  <si>
    <t>m(e)</t>
  </si>
  <si>
    <t>kg</t>
  </si>
  <si>
    <t>h</t>
  </si>
  <si>
    <t>J*sec</t>
  </si>
  <si>
    <t>h-bar</t>
  </si>
  <si>
    <t>k</t>
  </si>
  <si>
    <t>J/K</t>
  </si>
  <si>
    <t>S-B (σ)</t>
  </si>
  <si>
    <t>W/K^4*m^2</t>
  </si>
  <si>
    <t>amu</t>
  </si>
  <si>
    <t>hc</t>
  </si>
  <si>
    <t>cm^1</t>
  </si>
  <si>
    <t>kWh =</t>
  </si>
  <si>
    <t>Btu</t>
  </si>
  <si>
    <t>Quad =</t>
  </si>
  <si>
    <t>Btu =</t>
  </si>
  <si>
    <t>EJ</t>
  </si>
  <si>
    <t>EJ =</t>
  </si>
  <si>
    <t>J</t>
  </si>
  <si>
    <t xml:space="preserve">J </t>
  </si>
  <si>
    <t>eV (electron volt) =</t>
  </si>
  <si>
    <t xml:space="preserve">J = </t>
  </si>
  <si>
    <t>cal =</t>
  </si>
  <si>
    <t>therm =</t>
  </si>
  <si>
    <t>ft*lb =</t>
  </si>
  <si>
    <t>J =</t>
  </si>
  <si>
    <t>W =</t>
  </si>
  <si>
    <t>J/sec =</t>
  </si>
  <si>
    <t>Btu/hr</t>
  </si>
  <si>
    <t>kW =</t>
  </si>
  <si>
    <t>cal/sec =</t>
  </si>
  <si>
    <t>Btu/hr =</t>
  </si>
  <si>
    <t>hp</t>
  </si>
  <si>
    <t>hp =</t>
  </si>
  <si>
    <t>ft*lb/sec</t>
  </si>
  <si>
    <t>kWh/day =</t>
  </si>
  <si>
    <t>W</t>
  </si>
  <si>
    <t xml:space="preserve">    Length</t>
  </si>
  <si>
    <t>in =</t>
  </si>
  <si>
    <t>cm</t>
  </si>
  <si>
    <t>m =</t>
  </si>
  <si>
    <t>ft =</t>
  </si>
  <si>
    <t>in</t>
  </si>
  <si>
    <t xml:space="preserve">µm = </t>
  </si>
  <si>
    <t>m</t>
  </si>
  <si>
    <t>nm =</t>
  </si>
  <si>
    <t>Å</t>
  </si>
  <si>
    <t>Å =</t>
  </si>
  <si>
    <t>cm =</t>
  </si>
  <si>
    <t>nm</t>
  </si>
  <si>
    <t>km =</t>
  </si>
  <si>
    <t>mile</t>
  </si>
  <si>
    <t>mile =</t>
  </si>
  <si>
    <t>km</t>
  </si>
  <si>
    <t xml:space="preserve">    Area</t>
  </si>
  <si>
    <t>mi^2 =</t>
  </si>
  <si>
    <t>ft^2 =</t>
  </si>
  <si>
    <t>km^2 =</t>
  </si>
  <si>
    <t>acres</t>
  </si>
  <si>
    <t>ha =</t>
  </si>
  <si>
    <t>m^2 =</t>
  </si>
  <si>
    <t>acre =</t>
  </si>
  <si>
    <t>m^2</t>
  </si>
  <si>
    <t xml:space="preserve">    Volume</t>
  </si>
  <si>
    <t>liter =</t>
  </si>
  <si>
    <t>cm^3 =</t>
  </si>
  <si>
    <t>m^3 =</t>
  </si>
  <si>
    <t>gal</t>
  </si>
  <si>
    <t>gal =</t>
  </si>
  <si>
    <t>ft^3 =</t>
  </si>
  <si>
    <t>liters =</t>
  </si>
  <si>
    <t>bbl</t>
  </si>
  <si>
    <t>bbl =</t>
  </si>
  <si>
    <t>m^3</t>
  </si>
  <si>
    <t>cord =</t>
  </si>
  <si>
    <t>acre*ft =</t>
  </si>
  <si>
    <t xml:space="preserve">    Mass</t>
  </si>
  <si>
    <t>kg =</t>
  </si>
  <si>
    <t>lb</t>
  </si>
  <si>
    <t>lb =</t>
  </si>
  <si>
    <t>oz =</t>
  </si>
  <si>
    <t>ton =</t>
  </si>
  <si>
    <t>tonne =</t>
  </si>
  <si>
    <t>ton</t>
  </si>
  <si>
    <t xml:space="preserve">    Time</t>
  </si>
  <si>
    <t>year =</t>
  </si>
  <si>
    <t>days =</t>
  </si>
  <si>
    <t>hr =</t>
  </si>
  <si>
    <t>min =</t>
  </si>
  <si>
    <t>sec =</t>
  </si>
  <si>
    <t>weeks</t>
  </si>
  <si>
    <t>month =</t>
  </si>
  <si>
    <t xml:space="preserve">    Density</t>
  </si>
  <si>
    <t>Air (STP) =</t>
  </si>
  <si>
    <t>kg/m^3</t>
  </si>
  <si>
    <t>H20 =</t>
  </si>
  <si>
    <t>gm/cm^3 =</t>
  </si>
  <si>
    <t>lb/ft^3</t>
  </si>
  <si>
    <t>kg/m^3 =</t>
  </si>
  <si>
    <t>kg/gal</t>
  </si>
  <si>
    <t>Gasoline =</t>
  </si>
  <si>
    <t>gm/cm^3</t>
  </si>
  <si>
    <t>Diesel =</t>
  </si>
  <si>
    <t>Propane =</t>
  </si>
  <si>
    <t>Methane =</t>
  </si>
  <si>
    <t>H2 (STP) =</t>
  </si>
  <si>
    <t>kg/m^3 =&gt;</t>
  </si>
  <si>
    <t>m^3/kg</t>
  </si>
  <si>
    <t>H2 (20 K) =</t>
  </si>
  <si>
    <t>H2 (20 K)/H2 (STP) =</t>
  </si>
  <si>
    <t>bbl crude =</t>
  </si>
  <si>
    <t>ton Bit Coal =</t>
  </si>
  <si>
    <t>ft^3 NG =</t>
  </si>
  <si>
    <t>gal Gasoline =</t>
  </si>
  <si>
    <t>kg H2 =</t>
  </si>
  <si>
    <t>kJ =</t>
  </si>
  <si>
    <t>lb H2 =</t>
  </si>
  <si>
    <t>m^3 H2 (STP) =</t>
  </si>
  <si>
    <t>m^3 H2 (20 K) =</t>
  </si>
  <si>
    <t>MW</t>
  </si>
  <si>
    <t xml:space="preserve">MW = </t>
  </si>
  <si>
    <t>GW</t>
  </si>
  <si>
    <r>
      <t xml:space="preserve">  </t>
    </r>
    <r>
      <rPr>
        <u val="single"/>
        <sz val="10"/>
        <rFont val="Arial"/>
        <family val="2"/>
      </rPr>
      <t>Numbers &amp; Fundamental Constants</t>
    </r>
  </si>
  <si>
    <r>
      <t xml:space="preserve">  </t>
    </r>
    <r>
      <rPr>
        <u val="single"/>
        <sz val="10"/>
        <rFont val="Arial"/>
        <family val="2"/>
      </rPr>
      <t>Energy Units &amp; Conversions</t>
    </r>
  </si>
  <si>
    <r>
      <t xml:space="preserve">  </t>
    </r>
    <r>
      <rPr>
        <u val="single"/>
        <sz val="10"/>
        <rFont val="Arial"/>
        <family val="2"/>
      </rPr>
      <t>Power Units &amp; Conversions</t>
    </r>
  </si>
  <si>
    <r>
      <t xml:space="preserve">  </t>
    </r>
    <r>
      <rPr>
        <u val="single"/>
        <sz val="10"/>
        <rFont val="Arial"/>
        <family val="2"/>
      </rPr>
      <t>Size &amp; Quantity</t>
    </r>
  </si>
  <si>
    <r>
      <t xml:space="preserve">  </t>
    </r>
    <r>
      <rPr>
        <u val="single"/>
        <sz val="10"/>
        <rFont val="Arial"/>
        <family val="2"/>
      </rPr>
      <t>Properties of Various Materials</t>
    </r>
  </si>
  <si>
    <r>
      <t xml:space="preserve">  </t>
    </r>
    <r>
      <rPr>
        <u val="single"/>
        <sz val="10"/>
        <rFont val="Arial"/>
        <family val="2"/>
      </rPr>
      <t>Energy Content/Equivalents of Materials</t>
    </r>
  </si>
  <si>
    <r>
      <t xml:space="preserve">  </t>
    </r>
    <r>
      <rPr>
        <u val="single"/>
        <sz val="10"/>
        <rFont val="Arial"/>
        <family val="2"/>
      </rPr>
      <t>Energy/Power Equivalents of Hydrogen</t>
    </r>
  </si>
  <si>
    <r>
      <t xml:space="preserve">  </t>
    </r>
    <r>
      <rPr>
        <u val="single"/>
        <sz val="10"/>
        <rFont val="Arial"/>
        <family val="2"/>
      </rPr>
      <t>Energy Equivalents of H2 Based on Electrochemical ΔG</t>
    </r>
  </si>
  <si>
    <r>
      <t xml:space="preserve">  </t>
    </r>
    <r>
      <rPr>
        <u val="single"/>
        <sz val="10"/>
        <rFont val="Arial"/>
        <family val="2"/>
      </rPr>
      <t>Power Equivalents of H2 Based on ΔG flowing at 1 m^3/sec</t>
    </r>
  </si>
  <si>
    <r>
      <t xml:space="preserve">  </t>
    </r>
    <r>
      <rPr>
        <u val="single"/>
        <sz val="10"/>
        <rFont val="Arial"/>
        <family val="2"/>
      </rPr>
      <t>Cosmic Constants</t>
    </r>
  </si>
  <si>
    <t>R (gas constant)</t>
  </si>
  <si>
    <r>
      <t xml:space="preserve">  </t>
    </r>
    <r>
      <rPr>
        <u val="single"/>
        <sz val="10"/>
        <rFont val="Arial"/>
        <family val="2"/>
      </rPr>
      <t>Physical Units</t>
    </r>
  </si>
  <si>
    <t xml:space="preserve">    Pressure</t>
  </si>
  <si>
    <t>pascal =</t>
  </si>
  <si>
    <t xml:space="preserve">  Energy Equivalents of H2 Based on Electrochemical ΔG</t>
  </si>
  <si>
    <t xml:space="preserve">  Power Equivalents of H2 Based on ΔG flowing at 1 m^3/sec</t>
  </si>
  <si>
    <t>Power (MW)</t>
  </si>
  <si>
    <t>dV/dt (m^3/sec)</t>
  </si>
  <si>
    <t>Flow (m/sec)</t>
  </si>
  <si>
    <t>dV/dt (gal/sec)</t>
  </si>
  <si>
    <t>Dia (in)</t>
  </si>
  <si>
    <t>Dia (cm)</t>
  </si>
  <si>
    <t>Power Delivery Calculations for LH2 (20 K)</t>
  </si>
  <si>
    <t>Power Delivery Calculations for Electricity</t>
  </si>
  <si>
    <t>I (A)</t>
  </si>
  <si>
    <t>Je (A/cm^2)</t>
  </si>
  <si>
    <t>Asc (cm^2)</t>
  </si>
  <si>
    <t>tsc (cm)</t>
  </si>
  <si>
    <t>Bipolar Voltage (volts):</t>
  </si>
  <si>
    <r>
      <t>D</t>
    </r>
    <r>
      <rPr>
        <u val="single"/>
        <sz val="8"/>
        <rFont val="Arial"/>
        <family val="2"/>
      </rPr>
      <t>H2</t>
    </r>
    <r>
      <rPr>
        <u val="single"/>
        <sz val="10"/>
        <rFont val="Arial"/>
        <family val="2"/>
      </rPr>
      <t xml:space="preserve"> (cm)</t>
    </r>
  </si>
  <si>
    <t>Jequiv (A/cm^2)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</si>
</sst>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"/>
    <numFmt numFmtId="171" formatCode="0.00000"/>
    <numFmt numFmtId="172" formatCode="_(* #,##0.0000_);_(* \(#,##0.0000\);_(* &quot;-&quot;????_);_(@_)"/>
    <numFmt numFmtId="173" formatCode="0.000000"/>
    <numFmt numFmtId="174" formatCode="0.0"/>
    <numFmt numFmtId="175" formatCode="0.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_);_(* \(#,##0.0000\);_(* &quot;-&quot;??_);_(@_)"/>
    <numFmt numFmtId="181" formatCode="_(* #,##0.0_);_(* \(#,##0.0\);_(* &quot;-&quot;?_);_(@_)"/>
    <numFmt numFmtId="182" formatCode="0.00000000000000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3" fontId="0" fillId="0" borderId="0" xfId="15" applyAlignment="1">
      <alignment/>
    </xf>
    <xf numFmtId="168" fontId="0" fillId="0" borderId="0" xfId="15" applyNumberForma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15" applyNumberFormat="1" applyAlignment="1">
      <alignment/>
    </xf>
    <xf numFmtId="166" fontId="0" fillId="0" borderId="0" xfId="0" applyNumberFormat="1" applyAlignment="1">
      <alignment/>
    </xf>
    <xf numFmtId="43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 indent="1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80" fontId="0" fillId="0" borderId="0" xfId="15" applyNumberFormat="1" applyAlignment="1">
      <alignment/>
    </xf>
    <xf numFmtId="0" fontId="3" fillId="0" borderId="0" xfId="0" applyFont="1" applyAlignment="1">
      <alignment horizontal="right"/>
    </xf>
    <xf numFmtId="173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168" fontId="0" fillId="0" borderId="0" xfId="15" applyNumberFormat="1" applyAlignment="1">
      <alignment/>
    </xf>
    <xf numFmtId="168" fontId="0" fillId="0" borderId="0" xfId="15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2"/>
  <sheetViews>
    <sheetView tabSelected="1" workbookViewId="0" topLeftCell="A25">
      <selection activeCell="I43" sqref="I43"/>
    </sheetView>
  </sheetViews>
  <sheetFormatPr defaultColWidth="9.140625" defaultRowHeight="12.75"/>
  <cols>
    <col min="2" max="2" width="11.421875" style="0" customWidth="1"/>
    <col min="3" max="3" width="14.57421875" style="0" customWidth="1"/>
    <col min="4" max="4" width="14.8515625" style="0" customWidth="1"/>
    <col min="5" max="5" width="10.8515625" style="0" customWidth="1"/>
    <col min="6" max="6" width="11.140625" style="0" customWidth="1"/>
    <col min="7" max="7" width="12.00390625" style="0" customWidth="1"/>
    <col min="8" max="8" width="14.00390625" style="0" customWidth="1"/>
    <col min="9" max="9" width="12.421875" style="0" bestFit="1" customWidth="1"/>
  </cols>
  <sheetData>
    <row r="3" ht="12.75">
      <c r="B3" t="s">
        <v>144</v>
      </c>
    </row>
    <row r="4" spans="2:10" ht="12.75">
      <c r="B4">
        <v>1</v>
      </c>
      <c r="C4" t="s">
        <v>122</v>
      </c>
      <c r="E4">
        <v>142203.9800995025</v>
      </c>
      <c r="F4" t="s">
        <v>123</v>
      </c>
      <c r="G4">
        <v>39.50110558319514</v>
      </c>
      <c r="H4" t="s">
        <v>20</v>
      </c>
      <c r="I4">
        <v>134777.77224986182</v>
      </c>
      <c r="J4" t="s">
        <v>21</v>
      </c>
    </row>
    <row r="5" spans="2:10" ht="12.75">
      <c r="B5">
        <v>1</v>
      </c>
      <c r="C5" t="s">
        <v>124</v>
      </c>
      <c r="E5">
        <v>53513.16537154561</v>
      </c>
      <c r="F5" t="s">
        <v>123</v>
      </c>
      <c r="G5">
        <v>14.86476815876267</v>
      </c>
      <c r="H5" t="s">
        <v>20</v>
      </c>
      <c r="I5">
        <v>50718.58895769823</v>
      </c>
      <c r="J5" t="s">
        <v>21</v>
      </c>
    </row>
    <row r="6" spans="2:10" ht="12.75">
      <c r="B6">
        <v>1</v>
      </c>
      <c r="C6" t="s">
        <v>125</v>
      </c>
      <c r="E6">
        <v>10603.604179104479</v>
      </c>
      <c r="F6" t="s">
        <v>123</v>
      </c>
      <c r="G6">
        <v>2.9454456053067997</v>
      </c>
      <c r="H6" t="s">
        <v>20</v>
      </c>
      <c r="I6">
        <v>10049.860405306801</v>
      </c>
      <c r="J6" t="s">
        <v>21</v>
      </c>
    </row>
    <row r="7" spans="2:10" ht="12.75">
      <c r="B7">
        <v>1</v>
      </c>
      <c r="C7" t="s">
        <v>126</v>
      </c>
      <c r="E7">
        <v>8352638.805970149</v>
      </c>
      <c r="F7" t="s">
        <v>123</v>
      </c>
      <c r="G7">
        <v>2320.177446102819</v>
      </c>
      <c r="H7" t="s">
        <v>20</v>
      </c>
      <c r="I7">
        <v>7916445.4461028185</v>
      </c>
      <c r="J7" t="s">
        <v>21</v>
      </c>
    </row>
    <row r="9" ht="12.75">
      <c r="B9" t="s">
        <v>145</v>
      </c>
    </row>
    <row r="10" spans="2:8" ht="12.75">
      <c r="B10">
        <v>1</v>
      </c>
      <c r="C10" t="s">
        <v>125</v>
      </c>
      <c r="E10">
        <v>10603.604179104479</v>
      </c>
      <c r="F10" t="s">
        <v>37</v>
      </c>
      <c r="G10">
        <v>10.60360417910448</v>
      </c>
      <c r="H10" t="s">
        <v>127</v>
      </c>
    </row>
    <row r="11" spans="2:10" ht="12.75">
      <c r="B11">
        <v>1</v>
      </c>
      <c r="C11" t="s">
        <v>126</v>
      </c>
      <c r="E11">
        <v>8352638.805970149</v>
      </c>
      <c r="F11" t="s">
        <v>37</v>
      </c>
      <c r="G11">
        <v>8352.63880597015</v>
      </c>
      <c r="H11" t="s">
        <v>128</v>
      </c>
      <c r="I11">
        <v>8.35263880597015</v>
      </c>
      <c r="J11" t="s">
        <v>129</v>
      </c>
    </row>
    <row r="14" spans="2:5" ht="12.75">
      <c r="B14" s="24" t="s">
        <v>158</v>
      </c>
      <c r="D14">
        <v>5000</v>
      </c>
      <c r="E14">
        <v>-5000</v>
      </c>
    </row>
    <row r="16" ht="12.75">
      <c r="B16" s="24" t="s">
        <v>152</v>
      </c>
    </row>
    <row r="17" spans="2:8" ht="12.75">
      <c r="B17" s="21" t="s">
        <v>146</v>
      </c>
      <c r="C17" s="21" t="s">
        <v>147</v>
      </c>
      <c r="D17" s="21" t="s">
        <v>149</v>
      </c>
      <c r="E17" s="21" t="s">
        <v>151</v>
      </c>
      <c r="F17" s="21" t="s">
        <v>150</v>
      </c>
      <c r="G17" s="21" t="s">
        <v>148</v>
      </c>
      <c r="H17" s="21" t="s">
        <v>160</v>
      </c>
    </row>
    <row r="18" spans="2:8" ht="12.75">
      <c r="B18">
        <v>100</v>
      </c>
      <c r="C18" s="22">
        <f>(B18/1000)/$I$11</f>
        <v>0.011972264373328797</v>
      </c>
      <c r="D18" s="23">
        <f>C18/'Units, Constants &amp; Conversions'!$I$55</f>
        <v>3.1598496756289243</v>
      </c>
      <c r="E18">
        <v>12.35</v>
      </c>
      <c r="F18" s="5">
        <f>E18/2.54</f>
        <v>4.862204724409448</v>
      </c>
      <c r="G18" s="5">
        <f>C18/((3.14159/4)*(E18*0.01)^2)</f>
        <v>0.9994311210373368</v>
      </c>
      <c r="H18" s="5">
        <f>(B18*1000000/($D$14-$E$14))/((3.14159/4)*E18^2)</f>
        <v>83.47887165470709</v>
      </c>
    </row>
    <row r="19" spans="2:8" ht="12.75">
      <c r="B19">
        <v>100</v>
      </c>
      <c r="C19" s="22">
        <f>(B19/1000)/$I$11</f>
        <v>0.011972264373328797</v>
      </c>
      <c r="D19" s="23">
        <f>C19/'Units, Constants &amp; Conversions'!$I$55</f>
        <v>3.1598496756289243</v>
      </c>
      <c r="E19">
        <v>5</v>
      </c>
      <c r="F19" s="5">
        <f>E19/2.54</f>
        <v>1.968503937007874</v>
      </c>
      <c r="G19" s="5">
        <f>C19/((3.14159/4)*(E19*0.01)^2)</f>
        <v>6.0974293263366866</v>
      </c>
      <c r="H19" s="5">
        <f>(B19*1000000/($D$14-$E$14))/((3.14159/4)*E19^2)</f>
        <v>509.29624807820244</v>
      </c>
    </row>
    <row r="20" spans="2:8" ht="12.75">
      <c r="B20">
        <v>100</v>
      </c>
      <c r="C20" s="22">
        <f>(B20/1000)/$I$11</f>
        <v>0.011972264373328797</v>
      </c>
      <c r="D20" s="23">
        <f>C20/'Units, Constants &amp; Conversions'!$I$55</f>
        <v>3.1598496756289243</v>
      </c>
      <c r="E20">
        <v>10</v>
      </c>
      <c r="F20" s="5">
        <f>E20/2.54</f>
        <v>3.937007874015748</v>
      </c>
      <c r="G20" s="5">
        <f>C20/((3.14159/4)*(E20*0.01)^2)</f>
        <v>1.5243573315841716</v>
      </c>
      <c r="H20" s="5">
        <f>(B20*1000000/($D$14-$E$14))/((3.14159/4)*E20^2)</f>
        <v>127.32406201955061</v>
      </c>
    </row>
    <row r="21" spans="2:8" ht="12.75">
      <c r="B21">
        <v>200</v>
      </c>
      <c r="C21" s="22">
        <f>(B21/1000)/$I$11</f>
        <v>0.023944528746657593</v>
      </c>
      <c r="D21" s="23">
        <f>C21/'Units, Constants &amp; Conversions'!$I$55</f>
        <v>6.3196993512578485</v>
      </c>
      <c r="E21">
        <v>10</v>
      </c>
      <c r="F21" s="5">
        <f>E21/2.54</f>
        <v>3.937007874015748</v>
      </c>
      <c r="G21" s="5">
        <f>C21/((3.14159/4)*(E21*0.01)^2)</f>
        <v>3.0487146631683433</v>
      </c>
      <c r="H21" s="5">
        <f>(B21*1000000/($D$14-$E$14))/((3.14159/4)*E21^2)</f>
        <v>254.64812403910122</v>
      </c>
    </row>
    <row r="22" spans="2:8" ht="12.75">
      <c r="B22">
        <v>200</v>
      </c>
      <c r="C22" s="22">
        <f>(B22/1000)/$I$11</f>
        <v>0.023944528746657593</v>
      </c>
      <c r="D22" s="23">
        <f>C22/'Units, Constants &amp; Conversions'!$I$55</f>
        <v>6.3196993512578485</v>
      </c>
      <c r="E22">
        <v>5</v>
      </c>
      <c r="F22" s="5">
        <f>E22/2.54</f>
        <v>1.968503937007874</v>
      </c>
      <c r="G22" s="5">
        <f>C22/((3.14159/4)*(E22*0.01)^2)</f>
        <v>12.194858652673373</v>
      </c>
      <c r="H22" s="5">
        <f>(B22*1000000/($D$14-$E$14))/((3.14159/4)*E22^2)</f>
        <v>1018.5924961564049</v>
      </c>
    </row>
    <row r="23" spans="2:8" ht="12.75">
      <c r="B23">
        <v>250</v>
      </c>
      <c r="C23" s="22">
        <f>(B23/1000)/$I$11</f>
        <v>0.02993066093332199</v>
      </c>
      <c r="D23" s="23">
        <f>C23/'Units, Constants &amp; Conversions'!$I$55</f>
        <v>7.89962418907231</v>
      </c>
      <c r="E23">
        <v>10</v>
      </c>
      <c r="F23" s="5">
        <f>E23/2.54</f>
        <v>3.937007874015748</v>
      </c>
      <c r="G23" s="5">
        <f>C23/((3.14159/4)*(E23*0.01)^2)</f>
        <v>3.810893328960429</v>
      </c>
      <c r="H23" s="5">
        <f>(B23*1000000/($D$14-$E$14))/((3.14159/4)*E23^2)</f>
        <v>318.31015504887654</v>
      </c>
    </row>
    <row r="27" spans="2:9" ht="12.75">
      <c r="B27" s="24" t="s">
        <v>153</v>
      </c>
      <c r="I27">
        <f>(3.14159/4)*(0.1)^2</f>
        <v>0.007853975000000001</v>
      </c>
    </row>
    <row r="28" spans="2:9" ht="12.75">
      <c r="B28" s="21" t="s">
        <v>146</v>
      </c>
      <c r="C28" s="21" t="s">
        <v>154</v>
      </c>
      <c r="D28" s="21" t="s">
        <v>155</v>
      </c>
      <c r="E28" s="21" t="s">
        <v>156</v>
      </c>
      <c r="F28" s="21" t="s">
        <v>159</v>
      </c>
      <c r="G28" s="21" t="s">
        <v>157</v>
      </c>
      <c r="I28">
        <f>1/(0.007854*70.8*3.81*25000)</f>
        <v>1.8880385654080318E-05</v>
      </c>
    </row>
    <row r="29" spans="2:9" ht="12.75">
      <c r="B29">
        <v>100</v>
      </c>
      <c r="C29" s="25">
        <f>B29*1000000/($D$14-$E$14)</f>
        <v>10000</v>
      </c>
      <c r="D29" s="25">
        <v>50000</v>
      </c>
      <c r="E29" s="5">
        <f>C29/D29</f>
        <v>0.2</v>
      </c>
      <c r="F29">
        <v>10</v>
      </c>
      <c r="G29" s="22">
        <f>SQRT((E29/3.14159)+(F29/2)^2)-(F29/2)</f>
        <v>0.006362155398845992</v>
      </c>
      <c r="I29">
        <f>10000*I28</f>
        <v>0.18880385654080317</v>
      </c>
    </row>
    <row r="30" spans="2:7" ht="12.75">
      <c r="B30">
        <v>500</v>
      </c>
      <c r="C30" s="25">
        <f>B30*1000000/($D$14-$E$14)</f>
        <v>50000</v>
      </c>
      <c r="D30" s="25">
        <v>50000</v>
      </c>
      <c r="E30" s="5">
        <f>C30/D30</f>
        <v>1</v>
      </c>
      <c r="F30">
        <v>10</v>
      </c>
      <c r="G30" s="22">
        <f>SQRT((E30/3.14159)+(F30/2)^2)-(F30/2)</f>
        <v>0.03173033409471149</v>
      </c>
    </row>
    <row r="31" spans="2:7" ht="12.75">
      <c r="B31">
        <v>1000</v>
      </c>
      <c r="C31" s="25">
        <f>B31*1000000/($D$14-$E$14)</f>
        <v>100000</v>
      </c>
      <c r="D31" s="25">
        <v>50000</v>
      </c>
      <c r="E31" s="5">
        <f>C31/D31</f>
        <v>2</v>
      </c>
      <c r="F31">
        <v>10</v>
      </c>
      <c r="G31" s="22">
        <f>SQRT((E31/3.14159)+(F31/2)^2)-(F31/2)</f>
        <v>0.06326182515754919</v>
      </c>
    </row>
    <row r="32" spans="2:7" ht="12.75">
      <c r="B32">
        <v>1000</v>
      </c>
      <c r="C32" s="25">
        <f>B32*1000000/($D$14-$E$14)</f>
        <v>100000</v>
      </c>
      <c r="D32" s="26">
        <v>50000</v>
      </c>
      <c r="E32" s="5">
        <f>C32/D32</f>
        <v>2</v>
      </c>
      <c r="F32">
        <v>5</v>
      </c>
      <c r="G32" s="22">
        <f>SQRT((E32/3.14159)+(F32/2)^2)-(F32/2)</f>
        <v>0.12423709106051506</v>
      </c>
    </row>
    <row r="33" spans="2:7" ht="12.75">
      <c r="B33">
        <v>1000</v>
      </c>
      <c r="C33" s="25">
        <f>B33*1000000/($D$14-$E$14)</f>
        <v>100000</v>
      </c>
      <c r="D33" s="26">
        <v>25000</v>
      </c>
      <c r="E33" s="5">
        <f>C33/D33</f>
        <v>4</v>
      </c>
      <c r="F33">
        <v>10</v>
      </c>
      <c r="G33" s="22">
        <f>SQRT((E33/3.14159)+(F33/2)^2)-(F33/2)</f>
        <v>0.12574293348735033</v>
      </c>
    </row>
    <row r="35" ht="12.75">
      <c r="I35" s="4">
        <v>5.67E-12</v>
      </c>
    </row>
    <row r="36" spans="8:9" ht="12.75">
      <c r="H36">
        <v>300</v>
      </c>
      <c r="I36">
        <f>H36^4</f>
        <v>8100000000</v>
      </c>
    </row>
    <row r="37" spans="8:9" ht="12.75">
      <c r="H37">
        <v>20</v>
      </c>
      <c r="I37">
        <f>H37^4</f>
        <v>160000</v>
      </c>
    </row>
    <row r="38" ht="12.75">
      <c r="I38">
        <f>I35*(I36-I37)</f>
        <v>0.0459260928</v>
      </c>
    </row>
    <row r="39" ht="12.75">
      <c r="I39">
        <f>I38*3141.59</f>
        <v>144.28095387955202</v>
      </c>
    </row>
    <row r="41" ht="12.75">
      <c r="I41">
        <f>(0.05/2)*144</f>
        <v>3.6</v>
      </c>
    </row>
    <row r="42" ht="12.75">
      <c r="I42">
        <f>1+(3.6/0.5)</f>
        <v>8.2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11"/>
  <sheetViews>
    <sheetView workbookViewId="0" topLeftCell="B73">
      <selection activeCell="K87" sqref="K87"/>
    </sheetView>
  </sheetViews>
  <sheetFormatPr defaultColWidth="9.140625" defaultRowHeight="12.75"/>
  <cols>
    <col min="2" max="2" width="10.57421875" style="0" customWidth="1"/>
    <col min="3" max="3" width="14.57421875" style="0" customWidth="1"/>
    <col min="5" max="5" width="14.00390625" style="0" bestFit="1" customWidth="1"/>
    <col min="6" max="6" width="10.00390625" style="0" customWidth="1"/>
    <col min="7" max="7" width="16.7109375" style="0" bestFit="1" customWidth="1"/>
    <col min="9" max="9" width="17.8515625" style="0" bestFit="1" customWidth="1"/>
    <col min="11" max="11" width="11.28125" style="0" bestFit="1" customWidth="1"/>
  </cols>
  <sheetData>
    <row r="2" ht="18">
      <c r="B2" s="1" t="s">
        <v>0</v>
      </c>
    </row>
    <row r="4" ht="12.75">
      <c r="B4" s="2"/>
    </row>
    <row r="5" ht="12.75">
      <c r="B5" s="3" t="s">
        <v>130</v>
      </c>
    </row>
    <row r="6" spans="2:5" ht="12.75">
      <c r="B6" s="2"/>
      <c r="C6" t="s">
        <v>1</v>
      </c>
      <c r="E6" s="4">
        <v>6.023E+23</v>
      </c>
    </row>
    <row r="7" spans="2:5" ht="12.75">
      <c r="B7" s="2"/>
      <c r="C7" t="s">
        <v>2</v>
      </c>
      <c r="E7">
        <v>3.14159</v>
      </c>
    </row>
    <row r="8" spans="2:5" ht="12.75">
      <c r="B8" s="2"/>
      <c r="C8" t="s">
        <v>3</v>
      </c>
      <c r="E8">
        <v>2.71828</v>
      </c>
    </row>
    <row r="9" spans="2:6" ht="12.75">
      <c r="B9" s="2"/>
      <c r="C9" t="s">
        <v>4</v>
      </c>
      <c r="E9" s="4">
        <v>300000000</v>
      </c>
      <c r="F9" t="s">
        <v>5</v>
      </c>
    </row>
    <row r="10" spans="2:6" ht="12.75">
      <c r="B10" s="2"/>
      <c r="C10" t="s">
        <v>6</v>
      </c>
      <c r="E10" s="4">
        <v>-1.6E-19</v>
      </c>
      <c r="F10" t="s">
        <v>7</v>
      </c>
    </row>
    <row r="11" spans="2:6" ht="12.75">
      <c r="B11" s="2"/>
      <c r="C11" t="s">
        <v>8</v>
      </c>
      <c r="E11" s="4">
        <v>9.108E-31</v>
      </c>
      <c r="F11" t="s">
        <v>9</v>
      </c>
    </row>
    <row r="12" spans="2:6" ht="12.75">
      <c r="B12" s="2"/>
      <c r="C12" t="s">
        <v>10</v>
      </c>
      <c r="E12" s="4">
        <v>6.63E-34</v>
      </c>
      <c r="F12" t="s">
        <v>11</v>
      </c>
    </row>
    <row r="13" spans="2:6" ht="12.75">
      <c r="B13" s="2"/>
      <c r="C13" t="s">
        <v>12</v>
      </c>
      <c r="E13" s="4">
        <f>E12/(2*E7)</f>
        <v>1.0551981639870257E-34</v>
      </c>
      <c r="F13" t="s">
        <v>11</v>
      </c>
    </row>
    <row r="14" spans="2:6" ht="12.75">
      <c r="B14" s="2"/>
      <c r="C14" t="s">
        <v>13</v>
      </c>
      <c r="E14" s="4">
        <v>1.38E-23</v>
      </c>
      <c r="F14" t="s">
        <v>14</v>
      </c>
    </row>
    <row r="15" spans="2:6" ht="12.75">
      <c r="B15" s="2"/>
      <c r="C15" t="s">
        <v>15</v>
      </c>
      <c r="E15" s="4">
        <v>5.67E-08</v>
      </c>
      <c r="F15" t="s">
        <v>16</v>
      </c>
    </row>
    <row r="16" spans="2:6" ht="12.75">
      <c r="B16" s="2"/>
      <c r="C16" t="s">
        <v>17</v>
      </c>
      <c r="E16" s="4">
        <v>1.66E-27</v>
      </c>
      <c r="F16" t="s">
        <v>9</v>
      </c>
    </row>
    <row r="17" spans="2:5" ht="12.75">
      <c r="B17" s="2"/>
      <c r="C17" t="s">
        <v>18</v>
      </c>
      <c r="E17" s="4"/>
    </row>
    <row r="18" spans="2:5" ht="12.75">
      <c r="B18" s="2"/>
      <c r="C18" t="s">
        <v>19</v>
      </c>
      <c r="E18" s="4"/>
    </row>
    <row r="19" spans="2:6" ht="12.75">
      <c r="B19" s="2"/>
      <c r="C19" t="s">
        <v>140</v>
      </c>
      <c r="E19" s="20">
        <f>E6*E14</f>
        <v>8.31174</v>
      </c>
      <c r="F19" t="s">
        <v>14</v>
      </c>
    </row>
    <row r="20" spans="2:5" ht="12.75">
      <c r="B20" s="2"/>
      <c r="E20" s="4"/>
    </row>
    <row r="21" ht="12.75">
      <c r="B21" s="2"/>
    </row>
    <row r="22" ht="12.75">
      <c r="B22" t="s">
        <v>131</v>
      </c>
    </row>
    <row r="23" spans="2:6" ht="12.75">
      <c r="B23">
        <v>1</v>
      </c>
      <c r="C23" t="s">
        <v>20</v>
      </c>
      <c r="E23">
        <v>3412</v>
      </c>
      <c r="F23" t="s">
        <v>21</v>
      </c>
    </row>
    <row r="24" spans="2:8" ht="12.75">
      <c r="B24">
        <v>1</v>
      </c>
      <c r="C24" t="s">
        <v>22</v>
      </c>
      <c r="E24" s="4">
        <v>1000000000000000</v>
      </c>
      <c r="F24" t="s">
        <v>23</v>
      </c>
      <c r="G24">
        <v>1.055</v>
      </c>
      <c r="H24" t="s">
        <v>24</v>
      </c>
    </row>
    <row r="25" spans="2:6" ht="12.75">
      <c r="B25">
        <v>1</v>
      </c>
      <c r="C25" t="s">
        <v>25</v>
      </c>
      <c r="E25" s="4">
        <v>1E+18</v>
      </c>
      <c r="F25" t="s">
        <v>26</v>
      </c>
    </row>
    <row r="26" spans="2:6" ht="12.75">
      <c r="B26">
        <v>1</v>
      </c>
      <c r="C26" t="s">
        <v>23</v>
      </c>
      <c r="E26">
        <v>1055.06</v>
      </c>
      <c r="F26" t="s">
        <v>27</v>
      </c>
    </row>
    <row r="27" spans="2:10" ht="12.75">
      <c r="B27">
        <v>1</v>
      </c>
      <c r="C27" t="s">
        <v>28</v>
      </c>
      <c r="E27" s="4">
        <v>1.6E-19</v>
      </c>
      <c r="F27" t="s">
        <v>29</v>
      </c>
      <c r="G27" s="4">
        <v>4.45E-26</v>
      </c>
      <c r="H27" t="s">
        <v>20</v>
      </c>
      <c r="I27" s="4">
        <v>1.52E-22</v>
      </c>
      <c r="J27" t="s">
        <v>21</v>
      </c>
    </row>
    <row r="28" spans="2:10" ht="12.75">
      <c r="B28">
        <v>1</v>
      </c>
      <c r="C28" t="s">
        <v>30</v>
      </c>
      <c r="E28" s="5">
        <v>4.148</v>
      </c>
      <c r="F28" t="s">
        <v>29</v>
      </c>
      <c r="G28" s="4">
        <v>1.19E-06</v>
      </c>
      <c r="H28" t="s">
        <v>20</v>
      </c>
      <c r="I28" s="4">
        <v>0.00397</v>
      </c>
      <c r="J28" t="s">
        <v>21</v>
      </c>
    </row>
    <row r="29" spans="2:10" ht="12.75">
      <c r="B29">
        <v>1</v>
      </c>
      <c r="C29" t="s">
        <v>31</v>
      </c>
      <c r="E29" s="4"/>
      <c r="G29" s="4"/>
      <c r="I29" s="6">
        <v>100000</v>
      </c>
      <c r="J29" t="s">
        <v>21</v>
      </c>
    </row>
    <row r="30" spans="2:10" ht="12.75">
      <c r="B30">
        <v>1</v>
      </c>
      <c r="C30" t="s">
        <v>32</v>
      </c>
      <c r="E30" s="7">
        <v>1.36</v>
      </c>
      <c r="F30" t="s">
        <v>33</v>
      </c>
      <c r="G30" s="4">
        <v>3.78E-07</v>
      </c>
      <c r="H30" t="s">
        <v>20</v>
      </c>
      <c r="I30" s="4">
        <v>0.00129</v>
      </c>
      <c r="J30" t="s">
        <v>21</v>
      </c>
    </row>
    <row r="31" spans="5:9" ht="12.75">
      <c r="E31" s="4"/>
      <c r="G31" s="4"/>
      <c r="I31" s="4"/>
    </row>
    <row r="32" spans="2:9" ht="12.75">
      <c r="B32" t="s">
        <v>132</v>
      </c>
      <c r="E32" s="4"/>
      <c r="G32" s="4"/>
      <c r="I32" s="4"/>
    </row>
    <row r="33" spans="2:10" ht="12.75">
      <c r="B33">
        <v>1</v>
      </c>
      <c r="C33" t="s">
        <v>34</v>
      </c>
      <c r="E33" s="8">
        <v>1</v>
      </c>
      <c r="F33" t="s">
        <v>35</v>
      </c>
      <c r="G33" s="4"/>
      <c r="I33" s="7">
        <v>3.41</v>
      </c>
      <c r="J33" t="s">
        <v>36</v>
      </c>
    </row>
    <row r="34" spans="2:12" ht="12.75">
      <c r="B34">
        <v>1</v>
      </c>
      <c r="C34" t="s">
        <v>37</v>
      </c>
      <c r="E34" s="8">
        <v>1000</v>
      </c>
      <c r="F34" t="s">
        <v>35</v>
      </c>
      <c r="G34" s="8">
        <v>239</v>
      </c>
      <c r="H34" t="s">
        <v>38</v>
      </c>
      <c r="I34" s="8">
        <v>3412</v>
      </c>
      <c r="J34" t="s">
        <v>39</v>
      </c>
      <c r="K34">
        <v>1.341</v>
      </c>
      <c r="L34" t="s">
        <v>40</v>
      </c>
    </row>
    <row r="35" spans="2:9" ht="12.75">
      <c r="B35">
        <v>1</v>
      </c>
      <c r="C35" t="s">
        <v>41</v>
      </c>
      <c r="E35" s="6">
        <v>746</v>
      </c>
      <c r="F35" t="s">
        <v>34</v>
      </c>
      <c r="G35" s="8">
        <v>550</v>
      </c>
      <c r="H35" t="s">
        <v>42</v>
      </c>
      <c r="I35" s="4"/>
    </row>
    <row r="36" spans="2:9" ht="12.75">
      <c r="B36">
        <v>1</v>
      </c>
      <c r="C36" t="s">
        <v>43</v>
      </c>
      <c r="E36" s="7">
        <f>B36/24</f>
        <v>0.041666666666666664</v>
      </c>
      <c r="F36" t="s">
        <v>37</v>
      </c>
      <c r="G36" s="7">
        <f>1000*E36</f>
        <v>41.666666666666664</v>
      </c>
      <c r="H36" t="s">
        <v>44</v>
      </c>
      <c r="I36" s="4"/>
    </row>
    <row r="37" spans="5:9" ht="12.75">
      <c r="E37" s="4"/>
      <c r="G37" s="4"/>
      <c r="I37" s="4"/>
    </row>
    <row r="39" ht="12.75">
      <c r="B39" t="s">
        <v>133</v>
      </c>
    </row>
    <row r="40" ht="12.75">
      <c r="B40" t="s">
        <v>45</v>
      </c>
    </row>
    <row r="41" spans="2:6" ht="12.75">
      <c r="B41">
        <v>1</v>
      </c>
      <c r="C41" t="s">
        <v>46</v>
      </c>
      <c r="E41">
        <v>2.54</v>
      </c>
      <c r="F41" t="s">
        <v>47</v>
      </c>
    </row>
    <row r="42" spans="2:8" ht="12.75">
      <c r="B42">
        <v>1</v>
      </c>
      <c r="C42" t="s">
        <v>48</v>
      </c>
      <c r="E42">
        <v>3.28</v>
      </c>
      <c r="F42" t="s">
        <v>49</v>
      </c>
      <c r="G42">
        <v>39.36</v>
      </c>
      <c r="H42" t="s">
        <v>50</v>
      </c>
    </row>
    <row r="43" spans="2:6" ht="12.75">
      <c r="B43">
        <v>1</v>
      </c>
      <c r="C43" t="s">
        <v>51</v>
      </c>
      <c r="E43" s="4">
        <v>1E-06</v>
      </c>
      <c r="F43" t="s">
        <v>52</v>
      </c>
    </row>
    <row r="44" spans="2:8" ht="12.75">
      <c r="B44">
        <v>1</v>
      </c>
      <c r="C44" t="s">
        <v>53</v>
      </c>
      <c r="E44" s="4">
        <v>1E-09</v>
      </c>
      <c r="F44" t="s">
        <v>48</v>
      </c>
      <c r="G44">
        <v>0.1</v>
      </c>
      <c r="H44" t="s">
        <v>54</v>
      </c>
    </row>
    <row r="45" spans="2:8" ht="12.75">
      <c r="B45">
        <v>1</v>
      </c>
      <c r="C45" t="s">
        <v>55</v>
      </c>
      <c r="E45" s="4">
        <v>1E-08</v>
      </c>
      <c r="F45" t="s">
        <v>56</v>
      </c>
      <c r="G45">
        <v>10</v>
      </c>
      <c r="H45" t="s">
        <v>57</v>
      </c>
    </row>
    <row r="46" spans="2:10" ht="12.75">
      <c r="B46">
        <v>1</v>
      </c>
      <c r="C46" t="s">
        <v>58</v>
      </c>
      <c r="E46" s="6">
        <v>1000</v>
      </c>
      <c r="F46" t="s">
        <v>48</v>
      </c>
      <c r="G46">
        <f>E46*E42</f>
        <v>3280</v>
      </c>
      <c r="H46" t="s">
        <v>49</v>
      </c>
      <c r="I46" s="9">
        <f>E47/G46</f>
        <v>1.6097560975609757</v>
      </c>
      <c r="J46" t="s">
        <v>59</v>
      </c>
    </row>
    <row r="47" spans="2:8" ht="12.75">
      <c r="B47">
        <v>1</v>
      </c>
      <c r="C47" t="s">
        <v>60</v>
      </c>
      <c r="E47" s="6">
        <v>5280</v>
      </c>
      <c r="F47" t="s">
        <v>49</v>
      </c>
      <c r="G47" s="10">
        <f>E47/G46</f>
        <v>1.6097560975609757</v>
      </c>
      <c r="H47" t="s">
        <v>61</v>
      </c>
    </row>
    <row r="48" ht="12.75">
      <c r="E48" s="4"/>
    </row>
    <row r="49" spans="2:5" ht="12.75">
      <c r="B49" t="s">
        <v>62</v>
      </c>
      <c r="E49" s="4"/>
    </row>
    <row r="50" spans="2:10" ht="12.75">
      <c r="B50">
        <v>1</v>
      </c>
      <c r="C50" t="s">
        <v>63</v>
      </c>
      <c r="E50" s="8">
        <f>$E$47^2</f>
        <v>27878400</v>
      </c>
      <c r="F50" t="s">
        <v>64</v>
      </c>
      <c r="G50" s="5">
        <f>$G$47^2</f>
        <v>2.5913146936347413</v>
      </c>
      <c r="H50" t="s">
        <v>65</v>
      </c>
      <c r="I50">
        <f>$E$50/$E$52</f>
        <v>640</v>
      </c>
      <c r="J50" t="s">
        <v>66</v>
      </c>
    </row>
    <row r="51" spans="2:8" ht="12.75">
      <c r="B51">
        <v>1</v>
      </c>
      <c r="C51" t="s">
        <v>67</v>
      </c>
      <c r="E51" s="8">
        <v>10000</v>
      </c>
      <c r="F51" t="s">
        <v>68</v>
      </c>
      <c r="G51" s="10">
        <v>2.471</v>
      </c>
      <c r="H51" t="s">
        <v>66</v>
      </c>
    </row>
    <row r="52" spans="2:10" ht="12.75">
      <c r="B52">
        <v>1</v>
      </c>
      <c r="C52" t="s">
        <v>69</v>
      </c>
      <c r="E52" s="8">
        <v>43560</v>
      </c>
      <c r="F52" t="s">
        <v>64</v>
      </c>
      <c r="G52">
        <v>0.4047</v>
      </c>
      <c r="H52" t="s">
        <v>67</v>
      </c>
      <c r="I52" s="5">
        <f>E52/3.28^2</f>
        <v>4048.929208804284</v>
      </c>
      <c r="J52" t="s">
        <v>70</v>
      </c>
    </row>
    <row r="53" spans="2:5" ht="12.75">
      <c r="B53" t="s">
        <v>71</v>
      </c>
      <c r="E53" s="8"/>
    </row>
    <row r="54" spans="2:10" ht="12.75">
      <c r="B54">
        <v>1</v>
      </c>
      <c r="C54" t="s">
        <v>72</v>
      </c>
      <c r="E54" s="4">
        <v>1000</v>
      </c>
      <c r="F54" t="s">
        <v>73</v>
      </c>
      <c r="G54" s="4">
        <f>E54/100^3</f>
        <v>0.001</v>
      </c>
      <c r="H54" t="s">
        <v>74</v>
      </c>
      <c r="I54">
        <v>0.264</v>
      </c>
      <c r="J54" t="s">
        <v>75</v>
      </c>
    </row>
    <row r="55" spans="2:12" ht="12.75">
      <c r="B55">
        <v>1</v>
      </c>
      <c r="C55" t="s">
        <v>76</v>
      </c>
      <c r="E55" s="11">
        <v>0.1337</v>
      </c>
      <c r="F55" t="s">
        <v>77</v>
      </c>
      <c r="G55">
        <v>3.885</v>
      </c>
      <c r="H55" t="s">
        <v>78</v>
      </c>
      <c r="I55" s="4">
        <f>E55/3.28^3</f>
        <v>0.0037888714978018324</v>
      </c>
      <c r="J55" t="s">
        <v>74</v>
      </c>
      <c r="K55">
        <f>1/42</f>
        <v>0.023809523809523808</v>
      </c>
      <c r="L55" t="s">
        <v>79</v>
      </c>
    </row>
    <row r="56" spans="2:12" ht="12.75">
      <c r="B56">
        <v>1</v>
      </c>
      <c r="C56" t="s">
        <v>80</v>
      </c>
      <c r="E56" s="11">
        <v>42</v>
      </c>
      <c r="F56" t="s">
        <v>76</v>
      </c>
      <c r="G56">
        <v>159.1</v>
      </c>
      <c r="H56" t="s">
        <v>78</v>
      </c>
      <c r="I56">
        <f>E56*E55</f>
        <v>5.6154</v>
      </c>
      <c r="J56" t="s">
        <v>77</v>
      </c>
      <c r="K56" s="4">
        <f>E56*I55</f>
        <v>0.15913260290767697</v>
      </c>
      <c r="L56" t="s">
        <v>81</v>
      </c>
    </row>
    <row r="57" spans="2:8" ht="12.75">
      <c r="B57">
        <v>1</v>
      </c>
      <c r="C57" t="s">
        <v>82</v>
      </c>
      <c r="E57" s="11">
        <v>128</v>
      </c>
      <c r="F57" t="s">
        <v>77</v>
      </c>
      <c r="G57">
        <v>3.624</v>
      </c>
      <c r="H57" t="s">
        <v>74</v>
      </c>
    </row>
    <row r="58" spans="2:10" ht="12.75">
      <c r="B58">
        <v>1</v>
      </c>
      <c r="C58" t="s">
        <v>83</v>
      </c>
      <c r="E58" s="8">
        <v>325804</v>
      </c>
      <c r="F58" t="s">
        <v>76</v>
      </c>
      <c r="G58" s="12">
        <f>E58*E55</f>
        <v>43559.99480000001</v>
      </c>
      <c r="H58" t="s">
        <v>77</v>
      </c>
      <c r="I58" s="12">
        <f>E58*I55</f>
        <v>1234.4294894698282</v>
      </c>
      <c r="J58" t="s">
        <v>74</v>
      </c>
    </row>
    <row r="59" spans="2:9" ht="12.75">
      <c r="B59" t="s">
        <v>84</v>
      </c>
      <c r="E59" s="8"/>
      <c r="G59" s="12"/>
      <c r="I59" s="12"/>
    </row>
    <row r="60" spans="2:9" ht="12.75">
      <c r="B60">
        <v>1</v>
      </c>
      <c r="C60" t="s">
        <v>85</v>
      </c>
      <c r="E60" s="13">
        <v>2.2046</v>
      </c>
      <c r="F60" t="s">
        <v>86</v>
      </c>
      <c r="G60" s="12"/>
      <c r="I60" s="12"/>
    </row>
    <row r="61" spans="2:9" ht="12.75">
      <c r="B61">
        <v>1</v>
      </c>
      <c r="C61" t="s">
        <v>87</v>
      </c>
      <c r="E61" s="8">
        <v>16</v>
      </c>
      <c r="F61" t="s">
        <v>88</v>
      </c>
      <c r="G61" s="9">
        <f>1/E60</f>
        <v>0.4535970244035199</v>
      </c>
      <c r="H61" t="s">
        <v>9</v>
      </c>
      <c r="I61" s="12"/>
    </row>
    <row r="62" spans="2:9" ht="12.75">
      <c r="B62">
        <v>1</v>
      </c>
      <c r="C62" t="s">
        <v>89</v>
      </c>
      <c r="E62" s="8">
        <v>2000</v>
      </c>
      <c r="F62" t="s">
        <v>87</v>
      </c>
      <c r="G62" s="12">
        <f>E62*G61</f>
        <v>907.1940488070398</v>
      </c>
      <c r="H62" t="s">
        <v>9</v>
      </c>
      <c r="I62" s="12"/>
    </row>
    <row r="63" spans="2:9" ht="12.75">
      <c r="B63">
        <v>1</v>
      </c>
      <c r="C63" t="s">
        <v>90</v>
      </c>
      <c r="E63" s="8">
        <v>1000</v>
      </c>
      <c r="F63" t="s">
        <v>85</v>
      </c>
      <c r="G63" s="14">
        <f>E63/G62</f>
        <v>1.1023</v>
      </c>
      <c r="H63" t="s">
        <v>91</v>
      </c>
      <c r="I63" s="12"/>
    </row>
    <row r="64" spans="2:9" ht="12.75">
      <c r="B64" t="s">
        <v>92</v>
      </c>
      <c r="E64" s="8"/>
      <c r="G64" s="14"/>
      <c r="I64" s="12"/>
    </row>
    <row r="65" spans="2:14" ht="12.75">
      <c r="B65">
        <v>1</v>
      </c>
      <c r="C65" t="s">
        <v>93</v>
      </c>
      <c r="E65" s="15">
        <f>(3*365+366)/4</f>
        <v>365.25</v>
      </c>
      <c r="F65" t="s">
        <v>94</v>
      </c>
      <c r="G65" s="12">
        <f>E65*24</f>
        <v>8766</v>
      </c>
      <c r="H65" t="s">
        <v>95</v>
      </c>
      <c r="I65" s="12">
        <f>G65*60</f>
        <v>525960</v>
      </c>
      <c r="J65" t="s">
        <v>96</v>
      </c>
      <c r="K65" s="12">
        <f>I65*60</f>
        <v>31557600</v>
      </c>
      <c r="L65" t="s">
        <v>97</v>
      </c>
      <c r="M65" s="16">
        <f>E65/7</f>
        <v>52.17857142857143</v>
      </c>
      <c r="N65" t="s">
        <v>98</v>
      </c>
    </row>
    <row r="66" spans="2:12" ht="12.75">
      <c r="B66">
        <v>1</v>
      </c>
      <c r="C66" t="s">
        <v>99</v>
      </c>
      <c r="E66" s="15">
        <f>E65/12</f>
        <v>30.4375</v>
      </c>
      <c r="F66" t="s">
        <v>94</v>
      </c>
      <c r="G66" s="16">
        <f>E66*24</f>
        <v>730.5</v>
      </c>
      <c r="H66" t="s">
        <v>95</v>
      </c>
      <c r="I66" s="12">
        <f>G66*60</f>
        <v>43830</v>
      </c>
      <c r="J66" t="s">
        <v>96</v>
      </c>
      <c r="K66" s="16">
        <f>M65/12</f>
        <v>4.348214285714286</v>
      </c>
      <c r="L66" t="s">
        <v>98</v>
      </c>
    </row>
    <row r="67" spans="5:9" ht="12.75">
      <c r="E67" s="8"/>
      <c r="G67" s="14"/>
      <c r="I67" s="12"/>
    </row>
    <row r="68" spans="2:9" ht="12.75">
      <c r="B68" t="s">
        <v>141</v>
      </c>
      <c r="E68" s="8"/>
      <c r="G68" s="14"/>
      <c r="I68" s="12"/>
    </row>
    <row r="69" spans="2:9" ht="12.75">
      <c r="B69" t="s">
        <v>142</v>
      </c>
      <c r="E69" s="8"/>
      <c r="G69" s="14"/>
      <c r="I69" s="12"/>
    </row>
    <row r="70" spans="2:9" ht="12.75">
      <c r="B70">
        <v>1</v>
      </c>
      <c r="C70" t="s">
        <v>143</v>
      </c>
      <c r="E70" s="8"/>
      <c r="G70" s="14"/>
      <c r="I70" s="12"/>
    </row>
    <row r="71" spans="5:9" ht="12.75">
      <c r="E71" s="8"/>
      <c r="G71" s="14"/>
      <c r="I71" s="12"/>
    </row>
    <row r="72" spans="5:9" ht="12.75">
      <c r="E72" s="8"/>
      <c r="G72" s="14"/>
      <c r="I72" s="12"/>
    </row>
    <row r="73" spans="5:9" ht="12.75">
      <c r="E73" s="8"/>
      <c r="G73" s="14"/>
      <c r="I73" s="12"/>
    </row>
    <row r="74" spans="5:9" ht="12.75">
      <c r="E74" s="8"/>
      <c r="G74" s="12"/>
      <c r="I74" s="12"/>
    </row>
    <row r="75" ht="12.75">
      <c r="G75" s="17"/>
    </row>
    <row r="76" ht="12.75">
      <c r="B76" t="s">
        <v>134</v>
      </c>
    </row>
    <row r="77" ht="12.75">
      <c r="B77" t="s">
        <v>100</v>
      </c>
    </row>
    <row r="78" spans="3:6" ht="12.75">
      <c r="C78" t="s">
        <v>101</v>
      </c>
      <c r="E78">
        <v>1.293</v>
      </c>
      <c r="F78" t="s">
        <v>102</v>
      </c>
    </row>
    <row r="79" spans="3:12" ht="12.75">
      <c r="C79" t="s">
        <v>103</v>
      </c>
      <c r="E79">
        <v>1</v>
      </c>
      <c r="F79" t="s">
        <v>104</v>
      </c>
      <c r="G79">
        <v>62.4</v>
      </c>
      <c r="H79" t="s">
        <v>105</v>
      </c>
      <c r="I79">
        <f>E79/(1000*0.01^3)</f>
        <v>999.9999999999998</v>
      </c>
      <c r="J79" t="s">
        <v>106</v>
      </c>
      <c r="K79" s="7">
        <f>I79*$I$55</f>
        <v>3.7888714978018316</v>
      </c>
      <c r="L79" t="s">
        <v>107</v>
      </c>
    </row>
    <row r="80" spans="3:6" ht="12.75">
      <c r="C80" t="s">
        <v>108</v>
      </c>
      <c r="E80">
        <v>0.72</v>
      </c>
      <c r="F80" t="s">
        <v>109</v>
      </c>
    </row>
    <row r="81" spans="3:6" ht="12.75">
      <c r="C81" t="s">
        <v>110</v>
      </c>
      <c r="E81">
        <v>0.85</v>
      </c>
      <c r="F81" t="s">
        <v>109</v>
      </c>
    </row>
    <row r="82" spans="3:6" ht="12.75">
      <c r="C82" t="s">
        <v>111</v>
      </c>
      <c r="E82">
        <v>0.5</v>
      </c>
      <c r="F82" t="s">
        <v>109</v>
      </c>
    </row>
    <row r="83" ht="12.75">
      <c r="C83" t="s">
        <v>112</v>
      </c>
    </row>
    <row r="84" spans="3:8" ht="12.75">
      <c r="C84" t="s">
        <v>113</v>
      </c>
      <c r="E84">
        <v>0.08988</v>
      </c>
      <c r="F84" t="s">
        <v>114</v>
      </c>
      <c r="G84" s="10">
        <f>1/E84</f>
        <v>11.125945705384957</v>
      </c>
      <c r="H84" t="s">
        <v>115</v>
      </c>
    </row>
    <row r="85" spans="3:6" ht="12.75">
      <c r="C85" t="s">
        <v>116</v>
      </c>
      <c r="E85">
        <v>70.8</v>
      </c>
      <c r="F85" t="s">
        <v>102</v>
      </c>
    </row>
    <row r="86" spans="3:5" ht="12.75">
      <c r="C86" t="s">
        <v>117</v>
      </c>
      <c r="E86" s="18">
        <f>E85/E84</f>
        <v>787.7169559412549</v>
      </c>
    </row>
    <row r="89" ht="12.75">
      <c r="B89" t="s">
        <v>135</v>
      </c>
    </row>
    <row r="90" spans="2:10" ht="12.75">
      <c r="B90">
        <v>1</v>
      </c>
      <c r="C90" t="s">
        <v>118</v>
      </c>
      <c r="E90" s="4">
        <v>6120000000</v>
      </c>
      <c r="F90" t="s">
        <v>33</v>
      </c>
      <c r="G90">
        <v>1700</v>
      </c>
      <c r="H90" t="s">
        <v>20</v>
      </c>
      <c r="I90" s="6">
        <f>G90*E23</f>
        <v>5800400</v>
      </c>
      <c r="J90" t="s">
        <v>21</v>
      </c>
    </row>
    <row r="91" spans="2:10" ht="12.75">
      <c r="B91">
        <v>1</v>
      </c>
      <c r="C91" t="s">
        <v>119</v>
      </c>
      <c r="E91" s="4">
        <v>28100000000</v>
      </c>
      <c r="F91" t="s">
        <v>33</v>
      </c>
      <c r="G91">
        <v>7800</v>
      </c>
      <c r="H91" t="s">
        <v>20</v>
      </c>
      <c r="I91" s="8">
        <v>26600000</v>
      </c>
      <c r="J91" t="s">
        <v>21</v>
      </c>
    </row>
    <row r="92" spans="2:10" ht="12.75">
      <c r="B92">
        <v>1</v>
      </c>
      <c r="C92" t="s">
        <v>120</v>
      </c>
      <c r="I92" s="8">
        <v>1035</v>
      </c>
      <c r="J92" t="s">
        <v>21</v>
      </c>
    </row>
    <row r="93" spans="2:10" ht="12.75">
      <c r="B93">
        <v>1000</v>
      </c>
      <c r="C93" t="s">
        <v>120</v>
      </c>
      <c r="E93" s="4">
        <v>1090000000</v>
      </c>
      <c r="F93" t="s">
        <v>33</v>
      </c>
      <c r="G93" s="19">
        <f>E93/(1000*3600)</f>
        <v>302.77777777777777</v>
      </c>
      <c r="H93" t="s">
        <v>20</v>
      </c>
      <c r="I93" s="4">
        <v>1035000</v>
      </c>
      <c r="J93" t="s">
        <v>21</v>
      </c>
    </row>
    <row r="94" spans="2:10" ht="12.75">
      <c r="B94">
        <v>1</v>
      </c>
      <c r="C94" t="s">
        <v>121</v>
      </c>
      <c r="E94" s="4">
        <v>132000000</v>
      </c>
      <c r="F94" t="s">
        <v>33</v>
      </c>
      <c r="G94">
        <v>36.6</v>
      </c>
      <c r="H94" t="s">
        <v>20</v>
      </c>
      <c r="I94" s="4">
        <v>125000</v>
      </c>
      <c r="J94" t="s">
        <v>21</v>
      </c>
    </row>
    <row r="96" ht="12.75">
      <c r="B96" s="3" t="s">
        <v>136</v>
      </c>
    </row>
    <row r="97" ht="12.75">
      <c r="B97" s="3"/>
    </row>
    <row r="98" ht="12.75">
      <c r="B98" s="3" t="s">
        <v>137</v>
      </c>
    </row>
    <row r="99" spans="2:10" ht="12.75">
      <c r="B99" s="2">
        <v>1</v>
      </c>
      <c r="C99" t="s">
        <v>122</v>
      </c>
      <c r="E99" s="8">
        <v>142203.9800995025</v>
      </c>
      <c r="F99" t="s">
        <v>123</v>
      </c>
      <c r="G99" s="5">
        <v>39.50110558319514</v>
      </c>
      <c r="H99" t="s">
        <v>20</v>
      </c>
      <c r="I99" s="8">
        <v>134777.77224986182</v>
      </c>
      <c r="J99" t="s">
        <v>21</v>
      </c>
    </row>
    <row r="100" spans="2:10" ht="12.75">
      <c r="B100" s="2">
        <v>1</v>
      </c>
      <c r="C100" t="s">
        <v>124</v>
      </c>
      <c r="E100" s="8">
        <v>53513.16537154561</v>
      </c>
      <c r="F100" t="s">
        <v>123</v>
      </c>
      <c r="G100" s="5">
        <v>14.86476815876267</v>
      </c>
      <c r="H100" t="s">
        <v>20</v>
      </c>
      <c r="I100" s="8">
        <v>50718.58895769823</v>
      </c>
      <c r="J100" t="s">
        <v>21</v>
      </c>
    </row>
    <row r="101" spans="2:10" ht="12.75">
      <c r="B101" s="2">
        <v>1</v>
      </c>
      <c r="C101" t="s">
        <v>125</v>
      </c>
      <c r="E101" s="8">
        <v>10603.604179104479</v>
      </c>
      <c r="F101" t="s">
        <v>123</v>
      </c>
      <c r="G101" s="5">
        <v>2.9454456053067997</v>
      </c>
      <c r="H101" t="s">
        <v>20</v>
      </c>
      <c r="I101" s="8">
        <v>10049.860405306801</v>
      </c>
      <c r="J101" t="s">
        <v>21</v>
      </c>
    </row>
    <row r="102" spans="2:10" ht="12.75">
      <c r="B102" s="2">
        <v>1</v>
      </c>
      <c r="C102" t="s">
        <v>126</v>
      </c>
      <c r="E102" s="8">
        <v>8352638.805970149</v>
      </c>
      <c r="F102" t="s">
        <v>123</v>
      </c>
      <c r="G102" s="5">
        <v>2320.177446102819</v>
      </c>
      <c r="H102" t="s">
        <v>20</v>
      </c>
      <c r="I102" s="8">
        <v>7916445.4461028185</v>
      </c>
      <c r="J102" t="s">
        <v>21</v>
      </c>
    </row>
    <row r="103" ht="12.75">
      <c r="B103" s="2"/>
    </row>
    <row r="104" ht="12.75">
      <c r="B104" s="3" t="s">
        <v>138</v>
      </c>
    </row>
    <row r="105" spans="2:8" ht="12.75">
      <c r="B105" s="2">
        <v>1</v>
      </c>
      <c r="C105" t="s">
        <v>125</v>
      </c>
      <c r="E105" s="8">
        <v>10603.604179104479</v>
      </c>
      <c r="F105" t="s">
        <v>37</v>
      </c>
      <c r="G105" s="5">
        <v>10.60360417910448</v>
      </c>
      <c r="H105" t="s">
        <v>127</v>
      </c>
    </row>
    <row r="106" spans="2:10" ht="12.75">
      <c r="B106" s="2">
        <v>1</v>
      </c>
      <c r="C106" t="s">
        <v>126</v>
      </c>
      <c r="E106" s="8">
        <v>8352638.805970149</v>
      </c>
      <c r="F106" t="s">
        <v>37</v>
      </c>
      <c r="G106" s="5">
        <v>8352.63880597015</v>
      </c>
      <c r="H106" t="s">
        <v>128</v>
      </c>
      <c r="I106" s="7">
        <v>8.35263880597015</v>
      </c>
      <c r="J106" t="s">
        <v>129</v>
      </c>
    </row>
    <row r="107" ht="12.75">
      <c r="B107" s="2"/>
    </row>
    <row r="111" ht="12.75">
      <c r="B111" t="s">
        <v>139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Grant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Grant</dc:creator>
  <cp:keywords/>
  <dc:description/>
  <cp:lastModifiedBy>Paul M. Grant</cp:lastModifiedBy>
  <dcterms:created xsi:type="dcterms:W3CDTF">2003-03-02T19:48:23Z</dcterms:created>
  <dcterms:modified xsi:type="dcterms:W3CDTF">2003-03-05T06:18:52Z</dcterms:modified>
  <cp:category/>
  <cp:version/>
  <cp:contentType/>
  <cp:contentStatus/>
</cp:coreProperties>
</file>