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260" windowHeight="7050" tabRatio="704" firstSheet="3" activeTab="3"/>
  </bookViews>
  <sheets>
    <sheet name="Hydrogen for Transportation" sheetId="1" r:id="rId1"/>
    <sheet name="Units, Constants &amp; Conversions" sheetId="2" r:id="rId2"/>
    <sheet name="Hydrolysis &amp; Fuel Cells" sheetId="3" r:id="rId3"/>
    <sheet name="Hydrogen Factoids" sheetId="4" r:id="rId4"/>
    <sheet name="Solar, Wind, Biomass &amp; Nukes" sheetId="5" r:id="rId5"/>
    <sheet name="Land Area Factoids" sheetId="6" r:id="rId6"/>
    <sheet name="Oil Factoids" sheetId="7" r:id="rId7"/>
  </sheets>
  <definedNames/>
  <calcPr fullCalcOnLoad="1"/>
</workbook>
</file>

<file path=xl/sharedStrings.xml><?xml version="1.0" encoding="utf-8"?>
<sst xmlns="http://schemas.openxmlformats.org/spreadsheetml/2006/main" count="556" uniqueCount="350">
  <si>
    <t>Fuel Cell</t>
  </si>
  <si>
    <t>Electrolysis</t>
  </si>
  <si>
    <t>kWh =</t>
  </si>
  <si>
    <t>Quad =</t>
  </si>
  <si>
    <t>EJ =</t>
  </si>
  <si>
    <t>J</t>
  </si>
  <si>
    <t>J =</t>
  </si>
  <si>
    <t xml:space="preserve">J </t>
  </si>
  <si>
    <t>EJ</t>
  </si>
  <si>
    <t>Avogadro</t>
  </si>
  <si>
    <t>Pi</t>
  </si>
  <si>
    <t>e</t>
  </si>
  <si>
    <t>c</t>
  </si>
  <si>
    <t>m/sec</t>
  </si>
  <si>
    <t>eV (electron volt) =</t>
  </si>
  <si>
    <t xml:space="preserve">J = </t>
  </si>
  <si>
    <t>cal =</t>
  </si>
  <si>
    <t>therm =</t>
  </si>
  <si>
    <t>in =</t>
  </si>
  <si>
    <t>cm</t>
  </si>
  <si>
    <t>m =</t>
  </si>
  <si>
    <t>ft =</t>
  </si>
  <si>
    <t>in</t>
  </si>
  <si>
    <t>q(e)</t>
  </si>
  <si>
    <t>C</t>
  </si>
  <si>
    <t>h</t>
  </si>
  <si>
    <t>J*sec</t>
  </si>
  <si>
    <t>h-bar</t>
  </si>
  <si>
    <t>k</t>
  </si>
  <si>
    <t>J/K</t>
  </si>
  <si>
    <t>m(e)</t>
  </si>
  <si>
    <t>kg</t>
  </si>
  <si>
    <t>W/K^4*m^2</t>
  </si>
  <si>
    <t>amu</t>
  </si>
  <si>
    <t>ft*lb =</t>
  </si>
  <si>
    <t>W =</t>
  </si>
  <si>
    <t>J/sec =</t>
  </si>
  <si>
    <t>Btu/hr</t>
  </si>
  <si>
    <t>Btu</t>
  </si>
  <si>
    <t>Btu =</t>
  </si>
  <si>
    <t>kW =</t>
  </si>
  <si>
    <t>cal/sec =</t>
  </si>
  <si>
    <t>Btu/hr =</t>
  </si>
  <si>
    <t>hp</t>
  </si>
  <si>
    <t>hp =</t>
  </si>
  <si>
    <t>ft*lb/sec</t>
  </si>
  <si>
    <t xml:space="preserve">µm = </t>
  </si>
  <si>
    <t>m</t>
  </si>
  <si>
    <t>nm =</t>
  </si>
  <si>
    <t>S-B (σ)</t>
  </si>
  <si>
    <t>hc</t>
  </si>
  <si>
    <t>cm^1</t>
  </si>
  <si>
    <t>Å</t>
  </si>
  <si>
    <t>Å =</t>
  </si>
  <si>
    <t>cm =</t>
  </si>
  <si>
    <t>nm</t>
  </si>
  <si>
    <t>m^2 =</t>
  </si>
  <si>
    <t>acres</t>
  </si>
  <si>
    <t>ha =</t>
  </si>
  <si>
    <t>acre =</t>
  </si>
  <si>
    <t>ft^2 =</t>
  </si>
  <si>
    <t>Units, Constants &amp; Conversions</t>
  </si>
  <si>
    <r>
      <t xml:space="preserve">  </t>
    </r>
    <r>
      <rPr>
        <u val="single"/>
        <sz val="10"/>
        <rFont val="Arial"/>
        <family val="2"/>
      </rPr>
      <t>Numbers &amp; Fundamental Constants</t>
    </r>
  </si>
  <si>
    <r>
      <t xml:space="preserve">  </t>
    </r>
    <r>
      <rPr>
        <u val="single"/>
        <sz val="10"/>
        <rFont val="Arial"/>
        <family val="2"/>
      </rPr>
      <t>Cosmic Constants</t>
    </r>
  </si>
  <si>
    <r>
      <t xml:space="preserve">  </t>
    </r>
    <r>
      <rPr>
        <u val="single"/>
        <sz val="10"/>
        <rFont val="Arial"/>
        <family val="2"/>
      </rPr>
      <t>Size &amp; Quantity</t>
    </r>
  </si>
  <si>
    <r>
      <t xml:space="preserve">  </t>
    </r>
    <r>
      <rPr>
        <u val="single"/>
        <sz val="10"/>
        <rFont val="Arial"/>
        <family val="2"/>
      </rPr>
      <t>Properties of Various Materials</t>
    </r>
  </si>
  <si>
    <r>
      <t xml:space="preserve">  </t>
    </r>
    <r>
      <rPr>
        <u val="single"/>
        <sz val="10"/>
        <rFont val="Arial"/>
        <family val="2"/>
      </rPr>
      <t>Energy Content/Equivalents of Materials</t>
    </r>
  </si>
  <si>
    <t>liter =</t>
  </si>
  <si>
    <t>cm^3 =</t>
  </si>
  <si>
    <t>m^3 =</t>
  </si>
  <si>
    <t>gal</t>
  </si>
  <si>
    <t>gal =</t>
  </si>
  <si>
    <t>ft^3 =</t>
  </si>
  <si>
    <t>liters =</t>
  </si>
  <si>
    <t>m^3</t>
  </si>
  <si>
    <t>bbl =</t>
  </si>
  <si>
    <r>
      <t xml:space="preserve">  </t>
    </r>
    <r>
      <rPr>
        <u val="single"/>
        <sz val="10"/>
        <rFont val="Arial"/>
        <family val="2"/>
      </rPr>
      <t>Power Units &amp; Conversions</t>
    </r>
  </si>
  <si>
    <r>
      <t xml:space="preserve">  </t>
    </r>
    <r>
      <rPr>
        <u val="single"/>
        <sz val="10"/>
        <rFont val="Arial"/>
        <family val="2"/>
      </rPr>
      <t>Energy Units &amp; Conversions</t>
    </r>
  </si>
  <si>
    <t>cord =</t>
  </si>
  <si>
    <t>acre*ft =</t>
  </si>
  <si>
    <t>bbl</t>
  </si>
  <si>
    <t xml:space="preserve">    Area</t>
  </si>
  <si>
    <t xml:space="preserve">    Length</t>
  </si>
  <si>
    <t xml:space="preserve">    Volume</t>
  </si>
  <si>
    <t xml:space="preserve">    Mass</t>
  </si>
  <si>
    <t>kg =</t>
  </si>
  <si>
    <t>lb</t>
  </si>
  <si>
    <t>lb =</t>
  </si>
  <si>
    <t>oz =</t>
  </si>
  <si>
    <t>ton =</t>
  </si>
  <si>
    <t>tonne =</t>
  </si>
  <si>
    <t>ton</t>
  </si>
  <si>
    <t>mile =</t>
  </si>
  <si>
    <t>km =</t>
  </si>
  <si>
    <t>mile</t>
  </si>
  <si>
    <t>km</t>
  </si>
  <si>
    <t xml:space="preserve">    Time</t>
  </si>
  <si>
    <t>year =</t>
  </si>
  <si>
    <t>days =</t>
  </si>
  <si>
    <t>hr =</t>
  </si>
  <si>
    <t>min =</t>
  </si>
  <si>
    <t>month =</t>
  </si>
  <si>
    <t>sec =</t>
  </si>
  <si>
    <t>weeks</t>
  </si>
  <si>
    <t>bbl crude =</t>
  </si>
  <si>
    <t>ton Bit Coal =</t>
  </si>
  <si>
    <t>ft^3 NG =</t>
  </si>
  <si>
    <t>gal Gasoline =</t>
  </si>
  <si>
    <t>mol H2 =</t>
  </si>
  <si>
    <t>g</t>
  </si>
  <si>
    <t>ΔH =</t>
  </si>
  <si>
    <t>ΔG =</t>
  </si>
  <si>
    <t>kJ/mol</t>
  </si>
  <si>
    <t xml:space="preserve">    Density</t>
  </si>
  <si>
    <t>Air (STP) =</t>
  </si>
  <si>
    <t>kg/m^3</t>
  </si>
  <si>
    <t>H20 =</t>
  </si>
  <si>
    <t>lb/ft^3</t>
  </si>
  <si>
    <t>Gasoline =</t>
  </si>
  <si>
    <t>gm/cm^3</t>
  </si>
  <si>
    <t>gm/cm^3 =</t>
  </si>
  <si>
    <t>Diesel =</t>
  </si>
  <si>
    <t>Propane =</t>
  </si>
  <si>
    <t>Methane =</t>
  </si>
  <si>
    <t>H2 (STP) =</t>
  </si>
  <si>
    <t>H2 (20 K) =</t>
  </si>
  <si>
    <r>
      <t>ρ</t>
    </r>
    <r>
      <rPr>
        <sz val="10"/>
        <rFont val="Arial"/>
        <family val="0"/>
      </rPr>
      <t xml:space="preserve"> (H2 (STP)) =</t>
    </r>
  </si>
  <si>
    <t>kJ/mol =</t>
  </si>
  <si>
    <t>kJ/gm =</t>
  </si>
  <si>
    <t>kg/m^3 =</t>
  </si>
  <si>
    <t>gm/m^3</t>
  </si>
  <si>
    <t>kWh/m^3</t>
  </si>
  <si>
    <t>Thermodyamic Properties of Hydrogen From/To H2O</t>
  </si>
  <si>
    <t>Elecrolytic Chemical Cell Properties of Hydrogen Reduction/Oxidation</t>
  </si>
  <si>
    <t>Cell Potential =</t>
  </si>
  <si>
    <t>V</t>
  </si>
  <si>
    <t>Electronic Charge =</t>
  </si>
  <si>
    <t>Electrons Tranferred =</t>
  </si>
  <si>
    <t>kg H2 =</t>
  </si>
  <si>
    <t>kJ =</t>
  </si>
  <si>
    <t>lb H2 =</t>
  </si>
  <si>
    <t>m^3 H2 (STP) =</t>
  </si>
  <si>
    <t>H2 (20 K)/H2 (STP) =</t>
  </si>
  <si>
    <t>m^3 H2 (20 K) =</t>
  </si>
  <si>
    <t>Power Equivalents of H2 Based on ΔG flowing at 1 m^3/sec</t>
  </si>
  <si>
    <t>MW</t>
  </si>
  <si>
    <t xml:space="preserve">MW = </t>
  </si>
  <si>
    <t>GW</t>
  </si>
  <si>
    <t>Hydrogen Requirements for US Surface Transportation</t>
  </si>
  <si>
    <t>Petroleum Consumption Data from EIA 2001 "Yellow Flow Charts"</t>
  </si>
  <si>
    <t>(Units: Million Barrell per day: Mbbl/d)</t>
  </si>
  <si>
    <t>Use</t>
  </si>
  <si>
    <t>Consumption (Mbbl/d)</t>
  </si>
  <si>
    <t xml:space="preserve">  Motor Gasoline</t>
  </si>
  <si>
    <t>Considered as Surface</t>
  </si>
  <si>
    <t xml:space="preserve">  Fuel Oil</t>
  </si>
  <si>
    <t xml:space="preserve">  LPG</t>
  </si>
  <si>
    <t xml:space="preserve">  Jet Fuel</t>
  </si>
  <si>
    <t xml:space="preserve">  Residual Fuel</t>
  </si>
  <si>
    <t xml:space="preserve">  Other</t>
  </si>
  <si>
    <t>Total</t>
  </si>
  <si>
    <t xml:space="preserve"> (Home Heating Adjust)</t>
  </si>
  <si>
    <t>Mbbl</t>
  </si>
  <si>
    <t>m*m*m</t>
  </si>
  <si>
    <t>Notes</t>
  </si>
  <si>
    <t>Volume, Energy &amp; "Continuous Power" Equivalents of Various Daily Mbbl Consumption Amounts</t>
  </si>
  <si>
    <t>MWh</t>
  </si>
  <si>
    <t>"Crude" (tot)</t>
  </si>
  <si>
    <t>"Crude" (rnd)</t>
  </si>
  <si>
    <t>"Gasoline" (tot)</t>
  </si>
  <si>
    <t>"Gasoline" (rnd)</t>
  </si>
  <si>
    <t>E-P Type</t>
  </si>
  <si>
    <t>therm</t>
  </si>
  <si>
    <t>Amount and Electricity Equivalent of H2 Required to Meet Various End Use Conditions</t>
  </si>
  <si>
    <t>Req'd Mechanical End Use</t>
  </si>
  <si>
    <t>Elect-to-Mech</t>
  </si>
  <si>
    <t>Energy Equivalents of H2 Based on Electrochemical ΔG</t>
  </si>
  <si>
    <t>Scenario</t>
  </si>
  <si>
    <t>Vol (m^3 20 K)</t>
  </si>
  <si>
    <t>mech*</t>
  </si>
  <si>
    <t>*"mech" denotes the net rotational power to the drive shaft of the engine</t>
  </si>
  <si>
    <t>kWh/m^3 =</t>
  </si>
  <si>
    <t>kWh/kg</t>
  </si>
  <si>
    <t>Combined "Car FC + Motor" Efficiencies</t>
  </si>
  <si>
    <t>"Car" Total</t>
  </si>
  <si>
    <t>Daily Quantity of H2 Required</t>
  </si>
  <si>
    <t>m^3 (STP)</t>
  </si>
  <si>
    <t>tonnes</t>
  </si>
  <si>
    <t>Hindenburg Data</t>
  </si>
  <si>
    <t xml:space="preserve">  Overall Length =</t>
  </si>
  <si>
    <t xml:space="preserve">  Widest Diameter =</t>
  </si>
  <si>
    <t xml:space="preserve">  H2 Gas Capacity =</t>
  </si>
  <si>
    <t>Space Shuttle Data</t>
  </si>
  <si>
    <t>http://www.nlhs.com/hindenburg.htm</t>
  </si>
  <si>
    <t>http://jchemed.chem.wisc.edu/JCESoft/Programs/PTL/Sample/Elements/H/Images/H_Use1.html</t>
  </si>
  <si>
    <t>Booster Capacity</t>
  </si>
  <si>
    <t xml:space="preserve">  LH2 Capacity =</t>
  </si>
  <si>
    <t xml:space="preserve">m^3 = </t>
  </si>
  <si>
    <t># Space Shuttle Boosters</t>
  </si>
  <si>
    <t># Hindenburgs</t>
  </si>
  <si>
    <t>Electricity Required</t>
  </si>
  <si>
    <t>Hydrolizer Efficiency</t>
  </si>
  <si>
    <t>Energy (MWh)</t>
  </si>
  <si>
    <t>kWh/day =</t>
  </si>
  <si>
    <t>W</t>
  </si>
  <si>
    <t>Power (GW)</t>
  </si>
  <si>
    <t>Typical Electric Generation Plant Capacities</t>
  </si>
  <si>
    <t>Type</t>
  </si>
  <si>
    <t>Capacity (MW)</t>
  </si>
  <si>
    <t>Coal</t>
  </si>
  <si>
    <t>CC Natural Gas</t>
  </si>
  <si>
    <t>Boulder Dam</t>
  </si>
  <si>
    <t>Diablo Canyon</t>
  </si>
  <si>
    <t>Hydrogen Factoids</t>
  </si>
  <si>
    <t>Electolysis &amp; Fuel Cells</t>
  </si>
  <si>
    <t>New Plants Required to Generate:</t>
  </si>
  <si>
    <t>Using DeMeo/Peterson Numbers</t>
  </si>
  <si>
    <t>Peak Solar =</t>
  </si>
  <si>
    <t>W/m^2 =</t>
  </si>
  <si>
    <t>Efficiency =</t>
  </si>
  <si>
    <t>=&gt;</t>
  </si>
  <si>
    <t>Capacity Factor =</t>
  </si>
  <si>
    <t>W/ft^2 =</t>
  </si>
  <si>
    <t>mi^2</t>
  </si>
  <si>
    <t>Land Areas Needed to Supply Electricity Generation for Hydrogen</t>
  </si>
  <si>
    <t xml:space="preserve">W/ft^2 </t>
  </si>
  <si>
    <t>W/m^2</t>
  </si>
  <si>
    <t xml:space="preserve">W/m^2 = </t>
  </si>
  <si>
    <t>MW/mi^2 =</t>
  </si>
  <si>
    <t>MW/km^2</t>
  </si>
  <si>
    <t>mi^2 =</t>
  </si>
  <si>
    <t>km^2</t>
  </si>
  <si>
    <t>Solar</t>
  </si>
  <si>
    <t>Wind</t>
  </si>
  <si>
    <t>Numbers from Chuck McGowin</t>
  </si>
  <si>
    <t>Power per Tower =</t>
  </si>
  <si>
    <t>Distance between Towers =</t>
  </si>
  <si>
    <t xml:space="preserve"> </t>
  </si>
  <si>
    <t>Power Density =</t>
  </si>
  <si>
    <t>Power Generation Required:</t>
  </si>
  <si>
    <t>Land Area Occupied =</t>
  </si>
  <si>
    <t>mi*mi =</t>
  </si>
  <si>
    <t>km^2 =</t>
  </si>
  <si>
    <t>km*km</t>
  </si>
  <si>
    <t>Average Power Density =</t>
  </si>
  <si>
    <t>Land Area Factoids</t>
  </si>
  <si>
    <t>Wyoming</t>
  </si>
  <si>
    <t>Nebraska</t>
  </si>
  <si>
    <t>New York</t>
  </si>
  <si>
    <t>North Dakota</t>
  </si>
  <si>
    <t>South Dakota</t>
  </si>
  <si>
    <t>Arizona</t>
  </si>
  <si>
    <t>Areas of Selected States (mi^2)</t>
  </si>
  <si>
    <t>http://www.50states.com/</t>
  </si>
  <si>
    <t>Grand Teton</t>
  </si>
  <si>
    <t>Grand Canyon</t>
  </si>
  <si>
    <t>Great Smokies</t>
  </si>
  <si>
    <t>Yellowstone</t>
  </si>
  <si>
    <t>Yosemite</t>
  </si>
  <si>
    <t>Death Valley</t>
  </si>
  <si>
    <t>Mojave</t>
  </si>
  <si>
    <t xml:space="preserve">Sequoia - Kings </t>
  </si>
  <si>
    <t>http://www.nps.gov/</t>
  </si>
  <si>
    <t>Park</t>
  </si>
  <si>
    <t>Acres</t>
  </si>
  <si>
    <t>Areas of Selected National Parks</t>
  </si>
  <si>
    <t>Death Valley + Mojave =</t>
  </si>
  <si>
    <t>Denali</t>
  </si>
  <si>
    <t>United Kingdom</t>
  </si>
  <si>
    <t>Denmark</t>
  </si>
  <si>
    <t>Mass Equivalent of H2</t>
  </si>
  <si>
    <t>mol H2O =</t>
  </si>
  <si>
    <t>mol H2O     =&gt;</t>
  </si>
  <si>
    <t>Mass ratio H2O/H2 =</t>
  </si>
  <si>
    <r>
      <t xml:space="preserve">      </t>
    </r>
    <r>
      <rPr>
        <u val="single"/>
        <sz val="10"/>
        <rFont val="Arial"/>
        <family val="2"/>
      </rPr>
      <t>Daily Quantity of H2O Consumed</t>
    </r>
  </si>
  <si>
    <t>kg/gal</t>
  </si>
  <si>
    <t>ft^3</t>
  </si>
  <si>
    <t>gallons</t>
  </si>
  <si>
    <t>Volume of Selected Lakes</t>
  </si>
  <si>
    <t>Lake Tahoe EV (m)</t>
  </si>
  <si>
    <t>Solar, Wind, Biomass &amp; Nukes</t>
  </si>
  <si>
    <t>Biomass</t>
  </si>
  <si>
    <t>Nukes</t>
  </si>
  <si>
    <t>Total Power Output =</t>
  </si>
  <si>
    <t xml:space="preserve">Land Area = </t>
  </si>
  <si>
    <t>miles by</t>
  </si>
  <si>
    <t>Avg Power Density =</t>
  </si>
  <si>
    <t>MW/mi^2</t>
  </si>
  <si>
    <t>mi*mi</t>
  </si>
  <si>
    <t>Data from B60 TEPCO Plant</t>
  </si>
  <si>
    <t>The "25% 80-80-80 400 GW" Scenario</t>
  </si>
  <si>
    <t>m^3 (20 K)</t>
  </si>
  <si>
    <t>gal (20 K)</t>
  </si>
  <si>
    <t>bbl (20 K)</t>
  </si>
  <si>
    <t>liter (20 K)</t>
  </si>
  <si>
    <t>m*m*m (20 K)</t>
  </si>
  <si>
    <t>Shuttle Boosters</t>
  </si>
  <si>
    <t>Hindenburgs</t>
  </si>
  <si>
    <t>Daily Quantity of H2O Consumed</t>
  </si>
  <si>
    <t>Depth =</t>
  </si>
  <si>
    <t>E-W Wide =</t>
  </si>
  <si>
    <t>mi</t>
  </si>
  <si>
    <t>N-S Long =</t>
  </si>
  <si>
    <t>Circum =</t>
  </si>
  <si>
    <t>Area =</t>
  </si>
  <si>
    <t>ft</t>
  </si>
  <si>
    <t xml:space="preserve">Volume = </t>
  </si>
  <si>
    <t>Evaporation =</t>
  </si>
  <si>
    <t>in/d</t>
  </si>
  <si>
    <t>Lake Tahoe</t>
  </si>
  <si>
    <t>gal/d =&gt;</t>
  </si>
  <si>
    <t>Lake Mead</t>
  </si>
  <si>
    <t>Volume =</t>
  </si>
  <si>
    <t>kg/m^3 =&gt;</t>
  </si>
  <si>
    <t>m^3/kg</t>
  </si>
  <si>
    <t>acres =</t>
  </si>
  <si>
    <t>m^2</t>
  </si>
  <si>
    <r>
      <t xml:space="preserve">  </t>
    </r>
    <r>
      <rPr>
        <u val="single"/>
        <sz val="10"/>
        <rFont val="Arial"/>
        <family val="2"/>
      </rPr>
      <t>Power Equivalents of H2 Based on ΔG flowing at 1 m^3/sec</t>
    </r>
  </si>
  <si>
    <r>
      <t xml:space="preserve">  </t>
    </r>
    <r>
      <rPr>
        <u val="single"/>
        <sz val="10"/>
        <rFont val="Arial"/>
        <family val="2"/>
      </rPr>
      <t>Energy/Power Equivalents of Hydrogen</t>
    </r>
  </si>
  <si>
    <r>
      <t xml:space="preserve">  </t>
    </r>
    <r>
      <rPr>
        <u val="single"/>
        <sz val="10"/>
        <rFont val="Arial"/>
        <family val="2"/>
      </rPr>
      <t>Energy Equivalents of H2 Based on Electrochemical ΔG</t>
    </r>
  </si>
  <si>
    <t>"Gasoline" (@ 56%</t>
  </si>
  <si>
    <t>"Gasoline" (@ 30%</t>
  </si>
  <si>
    <t>"Gasoline" (@ 25%</t>
  </si>
  <si>
    <t>"Gasoline" (@ 20%</t>
  </si>
  <si>
    <t>"Gasoline" (@ 31%</t>
  </si>
  <si>
    <t>m of Lake Tahoe</t>
  </si>
  <si>
    <t>ft*ft*ft</t>
  </si>
  <si>
    <t>The "31% 50-80-80 750 GW" Scenario</t>
  </si>
  <si>
    <t>Norsk Hydro Electrolyzer</t>
  </si>
  <si>
    <t>Maximum Capacity per Unit</t>
  </si>
  <si>
    <t>Nm^3/hr</t>
  </si>
  <si>
    <t>http://www.hydro.com/en/products/</t>
  </si>
  <si>
    <t>kg/hr</t>
  </si>
  <si>
    <t>Nm^3/d</t>
  </si>
  <si>
    <t>kg/d</t>
  </si>
  <si>
    <t>Area (m*m)</t>
  </si>
  <si>
    <t>Area (m^2)</t>
  </si>
  <si>
    <t>Land Area Scenarious</t>
  </si>
  <si>
    <t>Canada</t>
  </si>
  <si>
    <t>Saudi Arabia</t>
  </si>
  <si>
    <t>Mexico</t>
  </si>
  <si>
    <t>Venezuela</t>
  </si>
  <si>
    <t>Nigeria</t>
  </si>
  <si>
    <t>Iraq</t>
  </si>
  <si>
    <t>UK</t>
  </si>
  <si>
    <t>Norway</t>
  </si>
  <si>
    <t>Angola</t>
  </si>
  <si>
    <t>Algeria</t>
  </si>
  <si>
    <t>Other</t>
  </si>
  <si>
    <t>US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</si>
</sst>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000_);_(* \(#,##0.000\);_(* &quot;-&quot;??_);_(@_)"/>
    <numFmt numFmtId="167" formatCode="_(* #,##0.0_);_(* \(#,##0.0\);_(* &quot;-&quot;??_);_(@_)"/>
    <numFmt numFmtId="168" formatCode="_(* #,##0_);_(* \(#,##0\);_(* &quot;-&quot;??_);_(@_)"/>
    <numFmt numFmtId="169" formatCode="0.000"/>
    <numFmt numFmtId="170" formatCode="0.0000"/>
    <numFmt numFmtId="171" formatCode="0.00000"/>
    <numFmt numFmtId="172" formatCode="_(* #,##0.0000_);_(* \(#,##0.0000\);_(* &quot;-&quot;????_);_(@_)"/>
    <numFmt numFmtId="173" formatCode="0.000000"/>
    <numFmt numFmtId="174" formatCode="0.0"/>
    <numFmt numFmtId="175" formatCode="0.0000000"/>
    <numFmt numFmtId="176" formatCode="&quot;Yes&quot;;&quot;Yes&quot;;&quot;No&quot;"/>
    <numFmt numFmtId="177" formatCode="&quot;True&quot;;&quot;True&quot;;&quot;False&quot;"/>
    <numFmt numFmtId="178" formatCode="&quot;On&quot;;&quot;On&quot;;&quot;Off&quot;"/>
    <numFmt numFmtId="179" formatCode="[$€-2]\ #,##0.00_);[Red]\([$€-2]\ #,##0.00\)"/>
    <numFmt numFmtId="180" formatCode="_(* #,##0.0000_);_(* \(#,##0.0000\);_(* &quot;-&quot;??_);_(@_)"/>
    <numFmt numFmtId="181" formatCode="_(* #,##0.0_);_(* \(#,##0.0\);_(* &quot;-&quot;?_);_(@_)"/>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s>
  <fonts count="12">
    <font>
      <sz val="10"/>
      <name val="Arial"/>
      <family val="0"/>
    </font>
    <font>
      <u val="single"/>
      <sz val="10"/>
      <name val="Arial"/>
      <family val="0"/>
    </font>
    <font>
      <b/>
      <u val="single"/>
      <sz val="14"/>
      <name val="Arial"/>
      <family val="2"/>
    </font>
    <font>
      <sz val="10"/>
      <name val="Comic Sans MS"/>
      <family val="4"/>
    </font>
    <font>
      <b/>
      <u val="single"/>
      <sz val="10"/>
      <name val="Arial"/>
      <family val="2"/>
    </font>
    <font>
      <b/>
      <u val="single"/>
      <sz val="12"/>
      <name val="Arial"/>
      <family val="2"/>
    </font>
    <font>
      <u val="single"/>
      <sz val="10"/>
      <color indexed="12"/>
      <name val="Arial"/>
      <family val="0"/>
    </font>
    <font>
      <sz val="10"/>
      <color indexed="8"/>
      <name val="Arial"/>
      <family val="2"/>
    </font>
    <font>
      <b/>
      <sz val="10"/>
      <name val="Arial"/>
      <family val="0"/>
    </font>
    <font>
      <b/>
      <u val="single"/>
      <sz val="10"/>
      <color indexed="12"/>
      <name val="Arial"/>
      <family val="2"/>
    </font>
    <font>
      <b/>
      <sz val="10"/>
      <color indexed="12"/>
      <name val="Arial"/>
      <family val="2"/>
    </font>
    <font>
      <u val="single"/>
      <sz val="10"/>
      <color indexed="36"/>
      <name val="Arial"/>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9" fontId="0" fillId="0" borderId="0" xfId="21" applyAlignment="1">
      <alignment/>
    </xf>
    <xf numFmtId="43" fontId="0" fillId="0" borderId="0" xfId="15" applyAlignment="1">
      <alignment/>
    </xf>
    <xf numFmtId="0" fontId="2" fillId="0" borderId="0" xfId="0" applyFont="1" applyAlignment="1">
      <alignment/>
    </xf>
    <xf numFmtId="0" fontId="1" fillId="0" borderId="0" xfId="0" applyFont="1" applyAlignment="1">
      <alignment/>
    </xf>
    <xf numFmtId="11" fontId="0" fillId="0" borderId="0" xfId="0" applyNumberFormat="1" applyAlignment="1">
      <alignment/>
    </xf>
    <xf numFmtId="0" fontId="0" fillId="0" borderId="0" xfId="0" applyFont="1" applyAlignment="1">
      <alignment/>
    </xf>
    <xf numFmtId="0" fontId="0" fillId="0" borderId="0" xfId="0" applyNumberFormat="1" applyAlignment="1">
      <alignment/>
    </xf>
    <xf numFmtId="2" fontId="0" fillId="0" borderId="0" xfId="0" applyNumberFormat="1" applyAlignment="1">
      <alignment/>
    </xf>
    <xf numFmtId="3" fontId="0" fillId="0" borderId="0" xfId="0" applyNumberFormat="1" applyAlignment="1">
      <alignment/>
    </xf>
    <xf numFmtId="43" fontId="0" fillId="0" borderId="0" xfId="15" applyNumberFormat="1" applyAlignment="1">
      <alignment/>
    </xf>
    <xf numFmtId="168" fontId="0" fillId="0" borderId="0" xfId="15" applyNumberFormat="1" applyAlignment="1">
      <alignment/>
    </xf>
    <xf numFmtId="168" fontId="0" fillId="0" borderId="0" xfId="0" applyNumberFormat="1" applyAlignment="1">
      <alignment/>
    </xf>
    <xf numFmtId="43" fontId="0" fillId="0" borderId="0" xfId="0" applyNumberFormat="1" applyAlignment="1">
      <alignment/>
    </xf>
    <xf numFmtId="0" fontId="0" fillId="0" borderId="0" xfId="0" applyAlignment="1">
      <alignment horizontal="left" indent="1"/>
    </xf>
    <xf numFmtId="170" fontId="0" fillId="0" borderId="0" xfId="15" applyNumberFormat="1" applyAlignment="1">
      <alignment/>
    </xf>
    <xf numFmtId="170" fontId="0" fillId="0" borderId="0" xfId="0" applyNumberFormat="1" applyAlignment="1">
      <alignment/>
    </xf>
    <xf numFmtId="169" fontId="0" fillId="0" borderId="0" xfId="0" applyNumberFormat="1" applyAlignment="1">
      <alignment/>
    </xf>
    <xf numFmtId="166" fontId="0" fillId="0" borderId="0" xfId="0" applyNumberFormat="1" applyAlignment="1">
      <alignment/>
    </xf>
    <xf numFmtId="174" fontId="0" fillId="0" borderId="0" xfId="0" applyNumberFormat="1" applyAlignment="1">
      <alignment/>
    </xf>
    <xf numFmtId="1" fontId="0" fillId="0" borderId="0" xfId="0" applyNumberFormat="1" applyAlignment="1">
      <alignment/>
    </xf>
    <xf numFmtId="0" fontId="0" fillId="0" borderId="0" xfId="0" applyFont="1" applyAlignment="1">
      <alignment/>
    </xf>
    <xf numFmtId="0" fontId="0" fillId="0" borderId="0" xfId="15" applyNumberFormat="1" applyAlignment="1">
      <alignment/>
    </xf>
    <xf numFmtId="0" fontId="1" fillId="0" borderId="0" xfId="0" applyFont="1" applyAlignment="1">
      <alignment horizontal="right"/>
    </xf>
    <xf numFmtId="43" fontId="0" fillId="0" borderId="0" xfId="15" applyFont="1" applyAlignment="1">
      <alignment horizontal="right"/>
    </xf>
    <xf numFmtId="0" fontId="0" fillId="0" borderId="0" xfId="0" applyAlignment="1">
      <alignment horizontal="right"/>
    </xf>
    <xf numFmtId="168" fontId="0" fillId="0" borderId="0" xfId="0" applyNumberFormat="1" applyFont="1" applyAlignment="1">
      <alignment horizontal="right"/>
    </xf>
    <xf numFmtId="0" fontId="2"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1" fontId="0" fillId="0" borderId="0" xfId="0" applyNumberFormat="1" applyBorder="1" applyAlignment="1">
      <alignment/>
    </xf>
    <xf numFmtId="0" fontId="0" fillId="0" borderId="5" xfId="0" applyBorder="1" applyAlignment="1">
      <alignment/>
    </xf>
    <xf numFmtId="3" fontId="0" fillId="0" borderId="0" xfId="0" applyNumberFormat="1" applyFont="1" applyBorder="1" applyAlignment="1">
      <alignment/>
    </xf>
    <xf numFmtId="168" fontId="0" fillId="0" borderId="0" xfId="15" applyNumberForma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4" xfId="0" applyFont="1" applyBorder="1" applyAlignment="1">
      <alignment/>
    </xf>
    <xf numFmtId="168" fontId="0" fillId="0" borderId="0" xfId="0" applyNumberFormat="1" applyBorder="1" applyAlignment="1">
      <alignment/>
    </xf>
    <xf numFmtId="43" fontId="0" fillId="0" borderId="0" xfId="0" applyNumberFormat="1" applyBorder="1" applyAlignment="1">
      <alignment/>
    </xf>
    <xf numFmtId="43" fontId="0" fillId="0" borderId="0" xfId="15" applyBorder="1" applyAlignment="1">
      <alignment/>
    </xf>
    <xf numFmtId="0" fontId="1" fillId="0" borderId="0" xfId="0" applyFont="1" applyBorder="1" applyAlignment="1">
      <alignment/>
    </xf>
    <xf numFmtId="0" fontId="0" fillId="0" borderId="0" xfId="0" applyBorder="1" applyAlignment="1" quotePrefix="1">
      <alignment horizontal="center"/>
    </xf>
    <xf numFmtId="0" fontId="5" fillId="0" borderId="0" xfId="0" applyFont="1" applyBorder="1" applyAlignment="1">
      <alignment/>
    </xf>
    <xf numFmtId="2" fontId="0" fillId="0" borderId="0" xfId="0" applyNumberFormat="1" applyBorder="1" applyAlignment="1">
      <alignment/>
    </xf>
    <xf numFmtId="0" fontId="4" fillId="0" borderId="0" xfId="0" applyFont="1" applyBorder="1" applyAlignment="1">
      <alignment/>
    </xf>
    <xf numFmtId="0" fontId="0" fillId="0" borderId="0" xfId="0" applyFill="1" applyBorder="1" applyAlignment="1">
      <alignment/>
    </xf>
    <xf numFmtId="168" fontId="0" fillId="0" borderId="0" xfId="0" applyNumberFormat="1" applyBorder="1" applyAlignment="1" quotePrefix="1">
      <alignment horizontal="center"/>
    </xf>
    <xf numFmtId="43" fontId="0" fillId="0" borderId="0" xfId="15" applyNumberFormat="1" applyFont="1" applyAlignment="1">
      <alignment/>
    </xf>
    <xf numFmtId="168" fontId="0" fillId="0" borderId="0" xfId="15" applyNumberFormat="1" applyFont="1" applyAlignment="1">
      <alignment/>
    </xf>
    <xf numFmtId="0" fontId="4" fillId="0" borderId="0" xfId="0" applyFont="1" applyAlignment="1">
      <alignment/>
    </xf>
    <xf numFmtId="0" fontId="1" fillId="0" borderId="0" xfId="0" applyFont="1" applyAlignment="1">
      <alignment horizontal="right"/>
    </xf>
    <xf numFmtId="3" fontId="0" fillId="0" borderId="0" xfId="0" applyNumberFormat="1" applyFont="1" applyAlignment="1">
      <alignment/>
    </xf>
    <xf numFmtId="0" fontId="6" fillId="0" borderId="0" xfId="20" applyAlignment="1">
      <alignment/>
    </xf>
    <xf numFmtId="3" fontId="7" fillId="0" borderId="0" xfId="0" applyNumberFormat="1" applyFont="1" applyAlignment="1">
      <alignment/>
    </xf>
    <xf numFmtId="11" fontId="0" fillId="0" borderId="0" xfId="15" applyNumberFormat="1" applyAlignment="1">
      <alignment/>
    </xf>
    <xf numFmtId="0" fontId="8" fillId="2" borderId="0" xfId="0" applyFont="1" applyFill="1" applyAlignment="1">
      <alignment/>
    </xf>
    <xf numFmtId="9" fontId="8" fillId="2" borderId="0" xfId="21" applyFont="1" applyFill="1" applyAlignment="1">
      <alignment/>
    </xf>
    <xf numFmtId="168" fontId="8" fillId="2" borderId="0" xfId="0" applyNumberFormat="1" applyFont="1" applyFill="1" applyAlignment="1">
      <alignment/>
    </xf>
    <xf numFmtId="168" fontId="8" fillId="2" borderId="0" xfId="15" applyNumberFormat="1" applyFont="1" applyFill="1" applyAlignment="1">
      <alignment/>
    </xf>
    <xf numFmtId="11" fontId="8" fillId="2" borderId="0" xfId="0" applyNumberFormat="1" applyFont="1" applyFill="1" applyAlignment="1">
      <alignment/>
    </xf>
    <xf numFmtId="43" fontId="8" fillId="2" borderId="0" xfId="15" applyNumberFormat="1" applyFont="1" applyFill="1" applyAlignment="1">
      <alignment/>
    </xf>
    <xf numFmtId="0" fontId="1" fillId="0" borderId="1" xfId="0" applyFont="1" applyBorder="1" applyAlignment="1">
      <alignment/>
    </xf>
    <xf numFmtId="9" fontId="0" fillId="0" borderId="2" xfId="21" applyBorder="1" applyAlignment="1">
      <alignment/>
    </xf>
    <xf numFmtId="168" fontId="0" fillId="0" borderId="2" xfId="0" applyNumberFormat="1" applyBorder="1" applyAlignment="1">
      <alignment/>
    </xf>
    <xf numFmtId="168" fontId="0" fillId="0" borderId="2" xfId="15" applyNumberFormat="1" applyBorder="1" applyAlignment="1">
      <alignment/>
    </xf>
    <xf numFmtId="11" fontId="0" fillId="0" borderId="3" xfId="0" applyNumberFormat="1" applyBorder="1" applyAlignment="1">
      <alignment/>
    </xf>
    <xf numFmtId="9" fontId="0" fillId="0" borderId="0" xfId="21" applyBorder="1" applyAlignment="1">
      <alignment/>
    </xf>
    <xf numFmtId="11" fontId="0" fillId="0" borderId="5" xfId="0" applyNumberFormat="1" applyBorder="1" applyAlignment="1">
      <alignment/>
    </xf>
    <xf numFmtId="0" fontId="1" fillId="0" borderId="4" xfId="0" applyFont="1" applyBorder="1" applyAlignment="1">
      <alignment horizontal="right"/>
    </xf>
    <xf numFmtId="0" fontId="1" fillId="0" borderId="0" xfId="0" applyFont="1" applyBorder="1" applyAlignment="1">
      <alignment horizontal="right"/>
    </xf>
    <xf numFmtId="9" fontId="1" fillId="0" borderId="0" xfId="21" applyFont="1" applyBorder="1" applyAlignment="1">
      <alignment horizontal="right"/>
    </xf>
    <xf numFmtId="168" fontId="1" fillId="0" borderId="5" xfId="15" applyNumberFormat="1" applyFont="1" applyBorder="1" applyAlignment="1">
      <alignment/>
    </xf>
    <xf numFmtId="168" fontId="0" fillId="0" borderId="4" xfId="15" applyNumberFormat="1" applyBorder="1" applyAlignment="1">
      <alignment/>
    </xf>
    <xf numFmtId="11" fontId="0" fillId="0" borderId="0" xfId="0" applyNumberFormat="1" applyBorder="1" applyAlignment="1">
      <alignment/>
    </xf>
    <xf numFmtId="43" fontId="0" fillId="0" borderId="0" xfId="15" applyNumberFormat="1" applyBorder="1" applyAlignment="1">
      <alignment/>
    </xf>
    <xf numFmtId="11" fontId="0" fillId="0" borderId="0" xfId="15" applyNumberFormat="1" applyBorder="1" applyAlignment="1">
      <alignment/>
    </xf>
    <xf numFmtId="168" fontId="0" fillId="0" borderId="5" xfId="15" applyNumberFormat="1" applyBorder="1" applyAlignment="1">
      <alignment/>
    </xf>
    <xf numFmtId="168" fontId="0" fillId="0" borderId="6" xfId="15" applyNumberFormat="1" applyFont="1" applyBorder="1" applyAlignment="1">
      <alignment/>
    </xf>
    <xf numFmtId="168" fontId="0" fillId="0" borderId="7" xfId="0" applyNumberFormat="1" applyFont="1" applyBorder="1" applyAlignment="1">
      <alignment horizontal="right"/>
    </xf>
    <xf numFmtId="2" fontId="0" fillId="0" borderId="7" xfId="0" applyNumberFormat="1" applyBorder="1" applyAlignment="1">
      <alignment/>
    </xf>
    <xf numFmtId="43" fontId="0" fillId="0" borderId="7" xfId="0" applyNumberFormat="1" applyFont="1" applyBorder="1" applyAlignment="1">
      <alignment horizontal="right"/>
    </xf>
    <xf numFmtId="168" fontId="0" fillId="0" borderId="7" xfId="15" applyNumberFormat="1" applyFont="1" applyBorder="1" applyAlignment="1">
      <alignment horizontal="right"/>
    </xf>
    <xf numFmtId="43" fontId="0" fillId="0" borderId="7" xfId="15" applyNumberFormat="1" applyFont="1" applyFill="1" applyBorder="1" applyAlignment="1">
      <alignment/>
    </xf>
    <xf numFmtId="168" fontId="0" fillId="0" borderId="8" xfId="0" applyNumberFormat="1" applyBorder="1" applyAlignment="1">
      <alignment/>
    </xf>
    <xf numFmtId="0" fontId="9" fillId="0" borderId="1" xfId="0" applyFont="1" applyBorder="1" applyAlignment="1">
      <alignment/>
    </xf>
    <xf numFmtId="0" fontId="1" fillId="0" borderId="2" xfId="0" applyFont="1" applyBorder="1" applyAlignment="1">
      <alignment/>
    </xf>
    <xf numFmtId="168" fontId="0" fillId="0" borderId="3" xfId="0" applyNumberFormat="1" applyBorder="1" applyAlignment="1">
      <alignment/>
    </xf>
    <xf numFmtId="168" fontId="0" fillId="0" borderId="5" xfId="0" applyNumberFormat="1" applyBorder="1" applyAlignment="1">
      <alignment/>
    </xf>
    <xf numFmtId="0" fontId="0" fillId="0" borderId="4" xfId="0" applyFont="1" applyBorder="1" applyAlignment="1">
      <alignment/>
    </xf>
    <xf numFmtId="0" fontId="0" fillId="0" borderId="4" xfId="0" applyFont="1" applyBorder="1" applyAlignment="1">
      <alignment/>
    </xf>
    <xf numFmtId="0" fontId="0" fillId="0" borderId="0" xfId="0" applyFont="1" applyBorder="1" applyAlignment="1">
      <alignment/>
    </xf>
    <xf numFmtId="0" fontId="1" fillId="0" borderId="0" xfId="0" applyFont="1" applyBorder="1" applyAlignment="1">
      <alignment/>
    </xf>
    <xf numFmtId="0" fontId="0" fillId="0" borderId="6" xfId="0" applyFont="1" applyBorder="1" applyAlignment="1">
      <alignment/>
    </xf>
    <xf numFmtId="0" fontId="0" fillId="0" borderId="7" xfId="0" applyFont="1" applyBorder="1" applyAlignment="1">
      <alignment horizontal="right"/>
    </xf>
    <xf numFmtId="0" fontId="1" fillId="0" borderId="7" xfId="0" applyFont="1" applyBorder="1" applyAlignment="1">
      <alignment horizontal="right"/>
    </xf>
    <xf numFmtId="0" fontId="10" fillId="3" borderId="2" xfId="0" applyFont="1" applyFill="1" applyBorder="1" applyAlignment="1">
      <alignment/>
    </xf>
    <xf numFmtId="0" fontId="6" fillId="0" borderId="4" xfId="20" applyBorder="1" applyAlignment="1">
      <alignment/>
    </xf>
    <xf numFmtId="0" fontId="1" fillId="0" borderId="4" xfId="0" applyFont="1" applyBorder="1" applyAlignment="1">
      <alignment horizontal="right"/>
    </xf>
    <xf numFmtId="0" fontId="1" fillId="0" borderId="0" xfId="0" applyFont="1" applyBorder="1" applyAlignment="1">
      <alignment horizontal="right"/>
    </xf>
    <xf numFmtId="0" fontId="1" fillId="0" borderId="5" xfId="0" applyFont="1" applyBorder="1" applyAlignment="1">
      <alignment horizontal="right"/>
    </xf>
    <xf numFmtId="168" fontId="0" fillId="0" borderId="7" xfId="15" applyNumberFormat="1" applyBorder="1" applyAlignment="1">
      <alignment/>
    </xf>
    <xf numFmtId="1" fontId="0" fillId="0" borderId="7" xfId="0" applyNumberFormat="1" applyBorder="1" applyAlignment="1">
      <alignment/>
    </xf>
    <xf numFmtId="0" fontId="0" fillId="0" borderId="1"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57150</xdr:rowOff>
    </xdr:from>
    <xdr:to>
      <xdr:col>9</xdr:col>
      <xdr:colOff>590550</xdr:colOff>
      <xdr:row>35</xdr:row>
      <xdr:rowOff>85725</xdr:rowOff>
    </xdr:to>
    <xdr:sp>
      <xdr:nvSpPr>
        <xdr:cNvPr id="1" name="TextBox 3"/>
        <xdr:cNvSpPr txBox="1">
          <a:spLocks noChangeArrowheads="1"/>
        </xdr:cNvSpPr>
      </xdr:nvSpPr>
      <xdr:spPr>
        <a:xfrm>
          <a:off x="619125" y="4819650"/>
          <a:ext cx="85915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NOTE:  The efficiencies above indicate the portion of gasoline combusted converted to actual "shaft rotational" kinetic energy, and do not take into account transmission, tire, windage, etc., that would be common losses in other "prime movers" such as fuel cells.  In other words, an electric motor would have to supply the same power, all other subsequent losses being equal.  The efficiencies assumed run from 56% (ideal Otto) to 20% (often assumed for car engines).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6</xdr:col>
      <xdr:colOff>885825</xdr:colOff>
      <xdr:row>25</xdr:row>
      <xdr:rowOff>9525</xdr:rowOff>
    </xdr:to>
    <xdr:pic>
      <xdr:nvPicPr>
        <xdr:cNvPr id="1" name="Picture 1"/>
        <xdr:cNvPicPr preferRelativeResize="1">
          <a:picLocks noChangeAspect="1"/>
        </xdr:cNvPicPr>
      </xdr:nvPicPr>
      <xdr:blipFill>
        <a:blip r:embed="rId1"/>
        <a:stretch>
          <a:fillRect/>
        </a:stretch>
      </xdr:blipFill>
      <xdr:spPr>
        <a:xfrm>
          <a:off x="609600" y="1266825"/>
          <a:ext cx="4248150" cy="2924175"/>
        </a:xfrm>
        <a:prstGeom prst="rect">
          <a:avLst/>
        </a:prstGeom>
        <a:noFill/>
        <a:ln w="19050" cmpd="sng">
          <a:solidFill>
            <a:srgbClr val="0000FF"/>
          </a:solidFill>
          <a:headEnd type="none"/>
          <a:tailEnd type="none"/>
        </a:ln>
      </xdr:spPr>
    </xdr:pic>
    <xdr:clientData/>
  </xdr:twoCellAnchor>
  <xdr:twoCellAnchor editAs="oneCell">
    <xdr:from>
      <xdr:col>1</xdr:col>
      <xdr:colOff>28575</xdr:colOff>
      <xdr:row>62</xdr:row>
      <xdr:rowOff>19050</xdr:rowOff>
    </xdr:from>
    <xdr:to>
      <xdr:col>7</xdr:col>
      <xdr:colOff>0</xdr:colOff>
      <xdr:row>86</xdr:row>
      <xdr:rowOff>95250</xdr:rowOff>
    </xdr:to>
    <xdr:pic>
      <xdr:nvPicPr>
        <xdr:cNvPr id="2" name="Picture 3"/>
        <xdr:cNvPicPr preferRelativeResize="1">
          <a:picLocks noChangeAspect="1"/>
        </xdr:cNvPicPr>
      </xdr:nvPicPr>
      <xdr:blipFill>
        <a:blip r:embed="rId2"/>
        <a:stretch>
          <a:fillRect/>
        </a:stretch>
      </xdr:blipFill>
      <xdr:spPr>
        <a:xfrm>
          <a:off x="638175" y="10344150"/>
          <a:ext cx="4229100" cy="3962400"/>
        </a:xfrm>
        <a:prstGeom prst="rect">
          <a:avLst/>
        </a:prstGeom>
        <a:noFill/>
        <a:ln w="19050" cmpd="sng">
          <a:solidFill>
            <a:srgbClr val="0000FF"/>
          </a:solidFill>
          <a:headEnd type="none"/>
          <a:tailEnd type="none"/>
        </a:ln>
      </xdr:spPr>
    </xdr:pic>
    <xdr:clientData/>
  </xdr:twoCellAnchor>
  <xdr:twoCellAnchor editAs="oneCell">
    <xdr:from>
      <xdr:col>1</xdr:col>
      <xdr:colOff>0</xdr:colOff>
      <xdr:row>30</xdr:row>
      <xdr:rowOff>0</xdr:rowOff>
    </xdr:from>
    <xdr:to>
      <xdr:col>6</xdr:col>
      <xdr:colOff>885825</xdr:colOff>
      <xdr:row>49</xdr:row>
      <xdr:rowOff>133350</xdr:rowOff>
    </xdr:to>
    <xdr:pic>
      <xdr:nvPicPr>
        <xdr:cNvPr id="3" name="Picture 4"/>
        <xdr:cNvPicPr preferRelativeResize="1">
          <a:picLocks noChangeAspect="1"/>
        </xdr:cNvPicPr>
      </xdr:nvPicPr>
      <xdr:blipFill>
        <a:blip r:embed="rId3"/>
        <a:stretch>
          <a:fillRect/>
        </a:stretch>
      </xdr:blipFill>
      <xdr:spPr>
        <a:xfrm>
          <a:off x="609600" y="5057775"/>
          <a:ext cx="4248150" cy="3209925"/>
        </a:xfrm>
        <a:prstGeom prst="rect">
          <a:avLst/>
        </a:prstGeom>
        <a:noFill/>
        <a:ln w="19050"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29</xdr:row>
      <xdr:rowOff>0</xdr:rowOff>
    </xdr:from>
    <xdr:to>
      <xdr:col>5</xdr:col>
      <xdr:colOff>733425</xdr:colOff>
      <xdr:row>41</xdr:row>
      <xdr:rowOff>57150</xdr:rowOff>
    </xdr:to>
    <xdr:pic>
      <xdr:nvPicPr>
        <xdr:cNvPr id="1" name="Picture 2"/>
        <xdr:cNvPicPr preferRelativeResize="1">
          <a:picLocks noChangeAspect="1"/>
        </xdr:cNvPicPr>
      </xdr:nvPicPr>
      <xdr:blipFill>
        <a:blip r:embed="rId1"/>
        <a:stretch>
          <a:fillRect/>
        </a:stretch>
      </xdr:blipFill>
      <xdr:spPr>
        <a:xfrm>
          <a:off x="1257300" y="4924425"/>
          <a:ext cx="2667000" cy="2000250"/>
        </a:xfrm>
        <a:prstGeom prst="rect">
          <a:avLst/>
        </a:prstGeom>
        <a:noFill/>
        <a:ln w="1" cmpd="sng">
          <a:noFill/>
        </a:ln>
      </xdr:spPr>
    </xdr:pic>
    <xdr:clientData/>
  </xdr:twoCellAnchor>
  <xdr:twoCellAnchor editAs="oneCell">
    <xdr:from>
      <xdr:col>1</xdr:col>
      <xdr:colOff>57150</xdr:colOff>
      <xdr:row>9</xdr:row>
      <xdr:rowOff>76200</xdr:rowOff>
    </xdr:from>
    <xdr:to>
      <xdr:col>9</xdr:col>
      <xdr:colOff>228600</xdr:colOff>
      <xdr:row>17</xdr:row>
      <xdr:rowOff>57150</xdr:rowOff>
    </xdr:to>
    <xdr:pic>
      <xdr:nvPicPr>
        <xdr:cNvPr id="2" name="Picture 3"/>
        <xdr:cNvPicPr preferRelativeResize="1">
          <a:picLocks noChangeAspect="1"/>
        </xdr:cNvPicPr>
      </xdr:nvPicPr>
      <xdr:blipFill>
        <a:blip r:embed="rId2"/>
        <a:stretch>
          <a:fillRect/>
        </a:stretch>
      </xdr:blipFill>
      <xdr:spPr>
        <a:xfrm>
          <a:off x="666750" y="1676400"/>
          <a:ext cx="5619750" cy="1276350"/>
        </a:xfrm>
        <a:prstGeom prst="rect">
          <a:avLst/>
        </a:prstGeom>
        <a:noFill/>
        <a:ln w="12700" cmpd="sng">
          <a:solidFill>
            <a:srgbClr val="000000"/>
          </a:solidFill>
          <a:headEnd type="none"/>
          <a:tailEnd type="none"/>
        </a:ln>
      </xdr:spPr>
    </xdr:pic>
    <xdr:clientData/>
  </xdr:twoCellAnchor>
  <xdr:twoCellAnchor>
    <xdr:from>
      <xdr:col>1</xdr:col>
      <xdr:colOff>276225</xdr:colOff>
      <xdr:row>42</xdr:row>
      <xdr:rowOff>123825</xdr:rowOff>
    </xdr:from>
    <xdr:to>
      <xdr:col>6</xdr:col>
      <xdr:colOff>257175</xdr:colOff>
      <xdr:row>47</xdr:row>
      <xdr:rowOff>38100</xdr:rowOff>
    </xdr:to>
    <xdr:sp>
      <xdr:nvSpPr>
        <xdr:cNvPr id="3" name="TextBox 4"/>
        <xdr:cNvSpPr txBox="1">
          <a:spLocks noChangeArrowheads="1"/>
        </xdr:cNvSpPr>
      </xdr:nvSpPr>
      <xdr:spPr>
        <a:xfrm>
          <a:off x="885825" y="7153275"/>
          <a:ext cx="3457575"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space shuttle uses liquid hydrogen as fuel and liquid oxygen as oxidizer. The red-orange tank contains 385,265 gallons of liquid hydrogen and 143,351 gallons of liquid oxygen on lift-off.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9525</xdr:rowOff>
    </xdr:from>
    <xdr:to>
      <xdr:col>10</xdr:col>
      <xdr:colOff>238125</xdr:colOff>
      <xdr:row>60</xdr:row>
      <xdr:rowOff>47625</xdr:rowOff>
    </xdr:to>
    <xdr:pic>
      <xdr:nvPicPr>
        <xdr:cNvPr id="1" name="Picture 1"/>
        <xdr:cNvPicPr preferRelativeResize="1">
          <a:picLocks noChangeAspect="1"/>
        </xdr:cNvPicPr>
      </xdr:nvPicPr>
      <xdr:blipFill>
        <a:blip r:embed="rId1"/>
        <a:stretch>
          <a:fillRect/>
        </a:stretch>
      </xdr:blipFill>
      <xdr:spPr>
        <a:xfrm>
          <a:off x="609600" y="6829425"/>
          <a:ext cx="6419850" cy="31146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6</xdr:row>
      <xdr:rowOff>57150</xdr:rowOff>
    </xdr:from>
    <xdr:to>
      <xdr:col>11</xdr:col>
      <xdr:colOff>914400</xdr:colOff>
      <xdr:row>27</xdr:row>
      <xdr:rowOff>38100</xdr:rowOff>
    </xdr:to>
    <xdr:pic>
      <xdr:nvPicPr>
        <xdr:cNvPr id="1" name="Picture 1"/>
        <xdr:cNvPicPr preferRelativeResize="1">
          <a:picLocks noChangeAspect="1"/>
        </xdr:cNvPicPr>
      </xdr:nvPicPr>
      <xdr:blipFill>
        <a:blip r:embed="rId1"/>
        <a:stretch>
          <a:fillRect/>
        </a:stretch>
      </xdr:blipFill>
      <xdr:spPr>
        <a:xfrm>
          <a:off x="4981575" y="1095375"/>
          <a:ext cx="3028950" cy="33813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ydro.com/en/product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ps.gov/"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2:AC88"/>
  <sheetViews>
    <sheetView workbookViewId="0" topLeftCell="H39">
      <selection activeCell="B57" sqref="B57"/>
    </sheetView>
  </sheetViews>
  <sheetFormatPr defaultColWidth="9.140625" defaultRowHeight="12.75"/>
  <cols>
    <col min="2" max="2" width="18.8515625" style="0" customWidth="1"/>
    <col min="3" max="3" width="13.421875" style="0" customWidth="1"/>
    <col min="4" max="4" width="14.57421875" style="0" customWidth="1"/>
    <col min="5" max="5" width="15.00390625" style="0" bestFit="1" customWidth="1"/>
    <col min="6" max="6" width="13.421875" style="0" customWidth="1"/>
    <col min="7" max="7" width="17.7109375" style="0" customWidth="1"/>
    <col min="8" max="8" width="12.28125" style="0" customWidth="1"/>
    <col min="9" max="9" width="14.8515625" style="0" customWidth="1"/>
    <col min="10" max="10" width="15.00390625" style="0" bestFit="1" customWidth="1"/>
    <col min="11" max="11" width="11.28125" style="0" customWidth="1"/>
    <col min="12" max="12" width="23.421875" style="0" customWidth="1"/>
    <col min="13" max="18" width="14.28125" style="0" customWidth="1"/>
    <col min="19" max="19" width="17.140625" style="0" customWidth="1"/>
    <col min="20" max="20" width="14.28125" style="0" customWidth="1"/>
    <col min="21" max="21" width="10.28125" style="0" customWidth="1"/>
    <col min="22" max="22" width="17.7109375" style="0" customWidth="1"/>
    <col min="23" max="23" width="18.00390625" style="0" customWidth="1"/>
    <col min="24" max="24" width="16.57421875" style="0" customWidth="1"/>
  </cols>
  <sheetData>
    <row r="2" ht="18">
      <c r="B2" s="4" t="s">
        <v>148</v>
      </c>
    </row>
    <row r="4" ht="12.75">
      <c r="C4" s="1"/>
    </row>
    <row r="5" ht="12.75">
      <c r="B5" s="5" t="s">
        <v>149</v>
      </c>
    </row>
    <row r="6" ht="12.75">
      <c r="B6" t="s">
        <v>150</v>
      </c>
    </row>
    <row r="7" spans="2:7" ht="12.75">
      <c r="B7" s="1" t="s">
        <v>151</v>
      </c>
      <c r="C7" s="1"/>
      <c r="D7" s="1" t="s">
        <v>152</v>
      </c>
      <c r="E7" s="1"/>
      <c r="G7" s="5" t="s">
        <v>154</v>
      </c>
    </row>
    <row r="8" spans="2:8" ht="12.75">
      <c r="B8" t="s">
        <v>153</v>
      </c>
      <c r="E8">
        <v>8.59</v>
      </c>
      <c r="H8" s="23">
        <f>E8</f>
        <v>8.59</v>
      </c>
    </row>
    <row r="9" spans="2:9" ht="12.75">
      <c r="B9" s="22" t="s">
        <v>155</v>
      </c>
      <c r="E9">
        <v>3.82</v>
      </c>
      <c r="G9">
        <v>-0.8</v>
      </c>
      <c r="H9">
        <f>E9</f>
        <v>3.82</v>
      </c>
      <c r="I9" t="s">
        <v>161</v>
      </c>
    </row>
    <row r="10" spans="2:5" ht="12.75">
      <c r="B10" s="22" t="s">
        <v>156</v>
      </c>
      <c r="E10">
        <v>2.05</v>
      </c>
    </row>
    <row r="11" spans="2:8" ht="12.75">
      <c r="B11" s="22" t="s">
        <v>157</v>
      </c>
      <c r="E11">
        <v>1.65</v>
      </c>
      <c r="H11" s="2"/>
    </row>
    <row r="12" spans="2:8" ht="12.75">
      <c r="B12" s="22" t="s">
        <v>158</v>
      </c>
      <c r="E12">
        <v>0.93</v>
      </c>
      <c r="H12" s="2"/>
    </row>
    <row r="13" spans="2:5" ht="12.75">
      <c r="B13" s="22" t="s">
        <v>159</v>
      </c>
      <c r="E13">
        <v>2.57</v>
      </c>
    </row>
    <row r="14" spans="2:11" ht="12.75">
      <c r="B14" s="5" t="s">
        <v>160</v>
      </c>
      <c r="E14" s="1">
        <f>SUM(E8:E13)</f>
        <v>19.61</v>
      </c>
      <c r="H14" s="1">
        <f>H8+H9+G9</f>
        <v>11.61</v>
      </c>
      <c r="K14" s="3"/>
    </row>
    <row r="17" ht="12.75">
      <c r="B17" s="5" t="s">
        <v>165</v>
      </c>
    </row>
    <row r="18" spans="2:9" ht="12.75">
      <c r="B18" s="1" t="s">
        <v>164</v>
      </c>
      <c r="C18" s="24" t="s">
        <v>162</v>
      </c>
      <c r="D18" s="24" t="s">
        <v>74</v>
      </c>
      <c r="E18" s="24" t="s">
        <v>163</v>
      </c>
      <c r="F18" s="24" t="s">
        <v>38</v>
      </c>
      <c r="G18" s="24" t="s">
        <v>166</v>
      </c>
      <c r="H18" s="25" t="s">
        <v>147</v>
      </c>
      <c r="I18" s="24" t="s">
        <v>171</v>
      </c>
    </row>
    <row r="19" spans="2:9" ht="12.75">
      <c r="B19" s="22" t="s">
        <v>167</v>
      </c>
      <c r="C19">
        <f>E14</f>
        <v>19.61</v>
      </c>
      <c r="D19" s="6">
        <f>C19*1000000*'Units, Constants &amp; Conversions'!$K$56</f>
        <v>3120590.3430195455</v>
      </c>
      <c r="E19" s="9">
        <f aca="true" t="shared" si="0" ref="E19:E27">D19^(1/3)</f>
        <v>146.13208699162905</v>
      </c>
      <c r="F19" s="6">
        <f>C19*1000000*'Units, Constants &amp; Conversions'!$I$86</f>
        <v>113745844000000</v>
      </c>
      <c r="G19" s="12">
        <f>C19*1000000*'Units, Constants &amp; Conversions'!$G$86/1000</f>
        <v>33337000</v>
      </c>
      <c r="H19" s="12">
        <f>G19/(24*1000)</f>
        <v>1389.0416666666667</v>
      </c>
      <c r="I19" s="26" t="s">
        <v>172</v>
      </c>
    </row>
    <row r="20" spans="2:9" ht="12.75">
      <c r="B20" s="22" t="s">
        <v>168</v>
      </c>
      <c r="C20">
        <v>20</v>
      </c>
      <c r="D20" s="6">
        <f>C20*1000000*'Units, Constants &amp; Conversions'!$K$56</f>
        <v>3182652.0581535394</v>
      </c>
      <c r="E20" s="9">
        <f t="shared" si="0"/>
        <v>147.09448409451923</v>
      </c>
      <c r="F20" s="6">
        <f>C20*1000000*'Units, Constants &amp; Conversions'!$I$86</f>
        <v>116008000000000</v>
      </c>
      <c r="G20" s="12">
        <f>C20*1000000*'Units, Constants &amp; Conversions'!$G$86/1000</f>
        <v>34000000</v>
      </c>
      <c r="H20" s="12">
        <f aca="true" t="shared" si="1" ref="H20:H27">G20/(24*1000)</f>
        <v>1416.6666666666667</v>
      </c>
      <c r="I20" s="26" t="s">
        <v>172</v>
      </c>
    </row>
    <row r="21" spans="2:9" ht="12.75">
      <c r="B21" s="22" t="s">
        <v>169</v>
      </c>
      <c r="C21">
        <f>H14</f>
        <v>11.61</v>
      </c>
      <c r="D21" s="6">
        <f>C21*1000000*'Units, Constants &amp; Conversions'!$K$56</f>
        <v>1847529.5197581297</v>
      </c>
      <c r="E21" s="9">
        <f t="shared" si="0"/>
        <v>122.70543387936644</v>
      </c>
      <c r="F21" s="6">
        <f>24*1000000*'Hydrogen for Transportation'!C21*'Units, Constants &amp; Conversions'!$I$90</f>
        <v>34830000000000</v>
      </c>
      <c r="G21" s="12">
        <f>42*1000000*C21*'Units, Constants &amp; Conversions'!$G$90/1000</f>
        <v>17846892</v>
      </c>
      <c r="H21" s="12">
        <f t="shared" si="1"/>
        <v>743.6205</v>
      </c>
      <c r="I21" s="26" t="s">
        <v>172</v>
      </c>
    </row>
    <row r="22" spans="2:9" ht="12.75">
      <c r="B22" s="22" t="s">
        <v>170</v>
      </c>
      <c r="C22">
        <v>12</v>
      </c>
      <c r="D22" s="6">
        <f>C22*1000000*'Units, Constants &amp; Conversions'!$K$56</f>
        <v>1909591.2348921236</v>
      </c>
      <c r="E22" s="9">
        <f t="shared" si="0"/>
        <v>124.0642927710261</v>
      </c>
      <c r="F22" s="6">
        <f>24*1000000*'Hydrogen for Transportation'!C22*'Units, Constants &amp; Conversions'!$I$90</f>
        <v>36000000000000</v>
      </c>
      <c r="G22" s="12">
        <f>42*1000000*C22*'Units, Constants &amp; Conversions'!$G$90/1000</f>
        <v>18446400</v>
      </c>
      <c r="H22" s="12">
        <f t="shared" si="1"/>
        <v>768.6</v>
      </c>
      <c r="I22" s="26" t="s">
        <v>172</v>
      </c>
    </row>
    <row r="23" spans="2:9" ht="12.75">
      <c r="B23" s="22" t="s">
        <v>320</v>
      </c>
      <c r="C23">
        <f>0.56*C22</f>
        <v>6.720000000000001</v>
      </c>
      <c r="D23" s="6">
        <f>C23*1000000*'Units, Constants &amp; Conversions'!$K$56</f>
        <v>1069371.0915395895</v>
      </c>
      <c r="E23" s="9">
        <f t="shared" si="0"/>
        <v>102.26086920567501</v>
      </c>
      <c r="F23" s="6">
        <f>24*1000000*'Hydrogen for Transportation'!C23*'Units, Constants &amp; Conversions'!$I$90</f>
        <v>20160000000000.004</v>
      </c>
      <c r="G23" s="12">
        <f>42*1000000*C23*'Units, Constants &amp; Conversions'!$G$90/1000</f>
        <v>10329984</v>
      </c>
      <c r="H23" s="12">
        <f t="shared" si="1"/>
        <v>430.416</v>
      </c>
      <c r="I23" s="26" t="s">
        <v>179</v>
      </c>
    </row>
    <row r="24" spans="2:9" ht="12.75">
      <c r="B24" s="22" t="s">
        <v>324</v>
      </c>
      <c r="C24">
        <f>0.315*C22</f>
        <v>3.7800000000000002</v>
      </c>
      <c r="D24" s="6">
        <f>C24*1000000*'Units, Constants &amp; Conversions'!$K$56</f>
        <v>601521.2389910191</v>
      </c>
      <c r="E24" s="9">
        <f t="shared" si="0"/>
        <v>84.41448763146695</v>
      </c>
      <c r="F24" s="6">
        <f>24*1000000*'Hydrogen for Transportation'!C24*'Units, Constants &amp; Conversions'!$I$90</f>
        <v>11340000000000</v>
      </c>
      <c r="G24" s="12">
        <f>42*1000000*C24*'Units, Constants &amp; Conversions'!$G$90/1000</f>
        <v>5810616</v>
      </c>
      <c r="H24" s="12">
        <f t="shared" si="1"/>
        <v>242.109</v>
      </c>
      <c r="I24" s="26" t="s">
        <v>179</v>
      </c>
    </row>
    <row r="25" spans="2:9" ht="12.75">
      <c r="B25" s="22" t="s">
        <v>321</v>
      </c>
      <c r="C25">
        <f>C22*0.3</f>
        <v>3.5999999999999996</v>
      </c>
      <c r="D25" s="6">
        <f>C25*1000000*'Units, Constants &amp; Conversions'!$K$56</f>
        <v>572877.3704676371</v>
      </c>
      <c r="E25" s="9">
        <f t="shared" si="0"/>
        <v>83.05272550956599</v>
      </c>
      <c r="F25" s="6">
        <f>24*1000000*'Hydrogen for Transportation'!C25*'Units, Constants &amp; Conversions'!$I$90</f>
        <v>10799999999999.998</v>
      </c>
      <c r="G25" s="12">
        <f>42*1000000*C25*'Units, Constants &amp; Conversions'!$G$90/1000</f>
        <v>5533919.999999999</v>
      </c>
      <c r="H25" s="12">
        <f t="shared" si="1"/>
        <v>230.57999999999996</v>
      </c>
      <c r="I25" s="26" t="s">
        <v>179</v>
      </c>
    </row>
    <row r="26" spans="2:9" ht="12.75">
      <c r="B26" s="22" t="s">
        <v>322</v>
      </c>
      <c r="C26">
        <f>0.25*C22</f>
        <v>3</v>
      </c>
      <c r="D26" s="6">
        <f>C26*1000000*'Units, Constants &amp; Conversions'!$K$56</f>
        <v>477397.8087230309</v>
      </c>
      <c r="E26" s="9">
        <f t="shared" si="0"/>
        <v>78.15560700126811</v>
      </c>
      <c r="F26" s="6">
        <f>24*1000000*'Hydrogen for Transportation'!C26*'Units, Constants &amp; Conversions'!$I$90</f>
        <v>9000000000000</v>
      </c>
      <c r="G26" s="12">
        <f>42*1000000*C26*'Units, Constants &amp; Conversions'!$G$90/1000</f>
        <v>4611600</v>
      </c>
      <c r="H26" s="12">
        <f t="shared" si="1"/>
        <v>192.15</v>
      </c>
      <c r="I26" s="26" t="s">
        <v>179</v>
      </c>
    </row>
    <row r="27" spans="2:9" ht="12.75">
      <c r="B27" s="22" t="s">
        <v>323</v>
      </c>
      <c r="C27">
        <f>0.2*C22</f>
        <v>2.4000000000000004</v>
      </c>
      <c r="D27" s="6">
        <f>C27*1000000*'Units, Constants &amp; Conversions'!$K$56</f>
        <v>381918.24697842484</v>
      </c>
      <c r="E27" s="9">
        <f t="shared" si="0"/>
        <v>72.55323854826295</v>
      </c>
      <c r="F27" s="6">
        <f>24*1000000*'Hydrogen for Transportation'!C27*'Units, Constants &amp; Conversions'!$I$90</f>
        <v>7200000000000.001</v>
      </c>
      <c r="G27" s="12">
        <f>42*1000000*C27*'Units, Constants &amp; Conversions'!$G$90/1000</f>
        <v>3689280.0000000005</v>
      </c>
      <c r="H27" s="12">
        <f t="shared" si="1"/>
        <v>153.72000000000003</v>
      </c>
      <c r="I27" s="26" t="s">
        <v>179</v>
      </c>
    </row>
    <row r="29" ht="12.75">
      <c r="B29" t="s">
        <v>180</v>
      </c>
    </row>
    <row r="32" spans="18:20" ht="12.75">
      <c r="R32" s="6">
        <f>R41/39000000000000</f>
        <v>1.9063475619039013E-05</v>
      </c>
      <c r="S32" s="6"/>
      <c r="T32" s="6"/>
    </row>
    <row r="34" ht="12.75">
      <c r="L34">
        <f>K41^(1/3)</f>
        <v>1519.3210232469557</v>
      </c>
    </row>
    <row r="35" spans="9:12" ht="12.75">
      <c r="I35" s="13"/>
      <c r="L35">
        <f>(K41/50)^0.5</f>
        <v>8375.086839214611</v>
      </c>
    </row>
    <row r="36" ht="12.75">
      <c r="I36" s="13"/>
    </row>
    <row r="37" ht="12.75">
      <c r="I37" s="13"/>
    </row>
    <row r="38" spans="2:9" ht="12.75">
      <c r="B38" s="5" t="s">
        <v>173</v>
      </c>
      <c r="I38" s="13"/>
    </row>
    <row r="39" spans="2:22" ht="12.75">
      <c r="B39" s="1" t="s">
        <v>177</v>
      </c>
      <c r="C39" s="1" t="s">
        <v>174</v>
      </c>
      <c r="D39" s="1"/>
      <c r="E39" s="1"/>
      <c r="F39" s="1" t="s">
        <v>183</v>
      </c>
      <c r="G39" s="1"/>
      <c r="H39" s="1"/>
      <c r="I39" s="13"/>
      <c r="K39" s="5" t="s">
        <v>185</v>
      </c>
      <c r="P39" s="7" t="s">
        <v>274</v>
      </c>
      <c r="V39" s="1" t="s">
        <v>200</v>
      </c>
    </row>
    <row r="40" spans="3:24" ht="12.75">
      <c r="C40" s="24" t="s">
        <v>166</v>
      </c>
      <c r="D40" s="24" t="s">
        <v>147</v>
      </c>
      <c r="E40" s="24"/>
      <c r="F40" s="24" t="s">
        <v>0</v>
      </c>
      <c r="G40" s="24" t="s">
        <v>175</v>
      </c>
      <c r="H40" s="24" t="s">
        <v>184</v>
      </c>
      <c r="I40" s="13"/>
      <c r="J40" s="24" t="s">
        <v>187</v>
      </c>
      <c r="K40" s="24" t="s">
        <v>186</v>
      </c>
      <c r="L40" s="24" t="s">
        <v>198</v>
      </c>
      <c r="M40" s="24" t="s">
        <v>199</v>
      </c>
      <c r="N40" s="24"/>
      <c r="O40" s="24" t="s">
        <v>187</v>
      </c>
      <c r="P40" s="24" t="s">
        <v>74</v>
      </c>
      <c r="Q40" s="24" t="s">
        <v>276</v>
      </c>
      <c r="R40" s="24" t="s">
        <v>277</v>
      </c>
      <c r="S40" s="24" t="s">
        <v>279</v>
      </c>
      <c r="T40" s="24"/>
      <c r="V40" s="24" t="s">
        <v>201</v>
      </c>
      <c r="W40" s="24" t="s">
        <v>202</v>
      </c>
      <c r="X40" s="24" t="s">
        <v>205</v>
      </c>
    </row>
    <row r="41" spans="2:24" ht="12.75">
      <c r="B41" t="str">
        <f>B23</f>
        <v>"Gasoline" (@ 56%</v>
      </c>
      <c r="C41" s="27">
        <f>G23</f>
        <v>10329984</v>
      </c>
      <c r="D41" s="27">
        <f>H23</f>
        <v>430.416</v>
      </c>
      <c r="E41" s="24"/>
      <c r="F41" s="2">
        <v>1</v>
      </c>
      <c r="G41" s="2">
        <v>1</v>
      </c>
      <c r="H41" s="2">
        <f aca="true" t="shared" si="2" ref="H41:H52">F41*G41</f>
        <v>1</v>
      </c>
      <c r="I41" s="13"/>
      <c r="J41" s="12">
        <f>(1/H41)*($C$41/('Hydrolysis &amp; Fuel Cells'!$S$11/1000))/1000</f>
        <v>315218.50556234975</v>
      </c>
      <c r="K41" s="6">
        <f>1000*J41/'Hydrolysis &amp; Fuel Cells'!$M$8</f>
        <v>3507103978.2192893</v>
      </c>
      <c r="L41" s="12">
        <f>1000*J41/'Hydrogen Factoids'!$H$28</f>
        <v>3050.064442135858</v>
      </c>
      <c r="M41" s="12">
        <f>K41/'Hydrogen Factoids'!$F$8</f>
        <v>17524.1237026975</v>
      </c>
      <c r="N41" s="12"/>
      <c r="O41" s="12">
        <f>J41*'Hydrolysis &amp; Fuel Cells'!$O$33</f>
        <v>2816933.317458665</v>
      </c>
      <c r="P41" s="12">
        <f>1000*O41/'Units, Constants &amp; Conversions'!$I$75</f>
        <v>2816933.3174586655</v>
      </c>
      <c r="Q41" s="12">
        <f>P41*(3.28)^3</f>
        <v>99402680.92035514</v>
      </c>
      <c r="R41" s="12">
        <f>Q41/'Units, Constants &amp; Conversions'!$E$55</f>
        <v>743475549.1425215</v>
      </c>
      <c r="S41" s="11">
        <f>('Land Area Factoids'!$P$14*(R41/('Land Area Factoids'!$N$14)))/39.36</f>
        <v>1.349222468681986</v>
      </c>
      <c r="T41" s="12"/>
      <c r="V41" s="2">
        <v>1</v>
      </c>
      <c r="W41" s="12">
        <f>(1/V41)*K41*'Hydrolysis &amp; Fuel Cells'!$Q$11/1000</f>
        <v>10329984</v>
      </c>
      <c r="X41" s="13">
        <f>W41/(24*1000)</f>
        <v>430.416</v>
      </c>
    </row>
    <row r="42" spans="6:24" ht="12.75">
      <c r="F42" s="2">
        <v>0.8</v>
      </c>
      <c r="G42" s="2">
        <v>0.8</v>
      </c>
      <c r="H42" s="2">
        <f t="shared" si="2"/>
        <v>0.6400000000000001</v>
      </c>
      <c r="I42" s="13"/>
      <c r="J42" s="12">
        <f>(1/H42)*($C$41/('Hydrolysis &amp; Fuel Cells'!$S$11/1000))/1000</f>
        <v>492528.9149411714</v>
      </c>
      <c r="K42" s="6">
        <f>1000*J42/'Hydrolysis &amp; Fuel Cells'!$M$8</f>
        <v>5479849965.967639</v>
      </c>
      <c r="L42" s="12">
        <f>1000*J42/'Hydrogen Factoids'!$H$28</f>
        <v>4765.725690837277</v>
      </c>
      <c r="M42" s="12">
        <f>K42/'Hydrogen Factoids'!$F$8</f>
        <v>27381.44328546484</v>
      </c>
      <c r="N42" s="12"/>
      <c r="O42" s="12">
        <f>J42*'Hydrolysis &amp; Fuel Cells'!$O$33</f>
        <v>4401458.308529164</v>
      </c>
      <c r="P42" s="12">
        <f>1000*O42/'Units, Constants &amp; Conversions'!$I$75</f>
        <v>4401458.308529165</v>
      </c>
      <c r="Q42" s="12">
        <f aca="true" t="shared" si="3" ref="Q42:Q52">P42*(3.28)^3</f>
        <v>155316688.9380549</v>
      </c>
      <c r="R42" s="12">
        <f>Q42/'Units, Constants &amp; Conversions'!$E$55</f>
        <v>1161680545.5351899</v>
      </c>
      <c r="S42" s="11">
        <f>('Land Area Factoids'!$P$14*(R42/('Land Area Factoids'!$N$14)))/39.36</f>
        <v>2.1081601073156033</v>
      </c>
      <c r="T42" s="12"/>
      <c r="V42" s="2">
        <v>0.8</v>
      </c>
      <c r="W42" s="12">
        <f>(1/V42)*K42*'Hydrolysis &amp; Fuel Cells'!$Q$11/1000</f>
        <v>20175749.999999996</v>
      </c>
      <c r="X42" s="13">
        <f aca="true" t="shared" si="4" ref="X42:X52">W42/(24*1000)</f>
        <v>840.6562499999999</v>
      </c>
    </row>
    <row r="43" spans="2:24" ht="12.75">
      <c r="B43" s="22" t="s">
        <v>324</v>
      </c>
      <c r="C43" s="13">
        <f>G24</f>
        <v>5810616</v>
      </c>
      <c r="D43" s="13">
        <f>H24</f>
        <v>242.109</v>
      </c>
      <c r="F43" s="2">
        <v>1</v>
      </c>
      <c r="G43" s="2">
        <v>1</v>
      </c>
      <c r="H43" s="2">
        <f>F43*G43</f>
        <v>1</v>
      </c>
      <c r="I43" s="13"/>
      <c r="J43" s="12">
        <f>(1/H43)*($C$46/('Hydrolysis &amp; Fuel Cells'!$S$11/1000))/1000</f>
        <v>168867.05655125878</v>
      </c>
      <c r="K43" s="6">
        <f>1000*J43/'Hydrolysis &amp; Fuel Cells'!$M$8</f>
        <v>1878805702.6174762</v>
      </c>
      <c r="L43" s="12">
        <f>1000*J43/'Hydrogen Factoids'!$H$28</f>
        <v>1633.9630940013521</v>
      </c>
      <c r="M43" s="12">
        <f>K43/'Hydrogen Factoids'!$F$8</f>
        <v>9387.923412159374</v>
      </c>
      <c r="N43" s="12"/>
      <c r="O43" s="12">
        <f>J43*'Hydrolysis &amp; Fuel Cells'!$O$33</f>
        <v>1509071.4200671418</v>
      </c>
      <c r="P43" s="12">
        <f>1000*O43/'Units, Constants &amp; Conversions'!$I$75</f>
        <v>1509071.4200671422</v>
      </c>
      <c r="Q43" s="12">
        <f t="shared" si="3"/>
        <v>53251436.20733311</v>
      </c>
      <c r="R43" s="12">
        <f>Q43/'Units, Constants &amp; Conversions'!$E$55</f>
        <v>398290472.7549223</v>
      </c>
      <c r="S43" s="11">
        <f>('Land Area Factoids'!$P$14*(R43/('Land Area Factoids'!$N$14)))/39.36</f>
        <v>0.7227977510796353</v>
      </c>
      <c r="T43" s="12"/>
      <c r="V43" s="2">
        <v>1</v>
      </c>
      <c r="W43" s="12">
        <f>(1/V43)*K43*'Hydrolysis &amp; Fuel Cells'!$Q$11/1000</f>
        <v>5533919.999999999</v>
      </c>
      <c r="X43" s="13">
        <f t="shared" si="4"/>
        <v>230.57999999999996</v>
      </c>
    </row>
    <row r="44" spans="6:24" ht="12.75">
      <c r="F44" s="2">
        <v>0.8</v>
      </c>
      <c r="G44" s="2">
        <v>0.8</v>
      </c>
      <c r="H44" s="2">
        <f>F44*G44</f>
        <v>0.6400000000000001</v>
      </c>
      <c r="I44" s="13"/>
      <c r="J44" s="12">
        <f>(1/H44)*($C$46/('Hydrolysis &amp; Fuel Cells'!$S$11/1000))/1000</f>
        <v>263854.7758613418</v>
      </c>
      <c r="K44" s="6">
        <f>1000*J44/'Hydrolysis &amp; Fuel Cells'!$M$8</f>
        <v>2935633910.3398066</v>
      </c>
      <c r="L44" s="12">
        <f>1000*J44/'Hydrogen Factoids'!$H$28</f>
        <v>2553.0673343771127</v>
      </c>
      <c r="M44" s="12">
        <f>K44/'Hydrogen Factoids'!$F$8</f>
        <v>14668.630331499022</v>
      </c>
      <c r="N44" s="12"/>
      <c r="O44" s="12">
        <f>J44*'Hydrolysis &amp; Fuel Cells'!$O$33</f>
        <v>2357924.093854909</v>
      </c>
      <c r="P44" s="12">
        <f>1000*O44/'Units, Constants &amp; Conversions'!$I$75</f>
        <v>2357924.0938549093</v>
      </c>
      <c r="Q44" s="12">
        <f t="shared" si="3"/>
        <v>83205369.07395796</v>
      </c>
      <c r="R44" s="12">
        <f>Q44/'Units, Constants &amp; Conversions'!$E$55</f>
        <v>622328863.6795659</v>
      </c>
      <c r="S44" s="11">
        <f>('Land Area Factoids'!$P$14*(R44/('Land Area Factoids'!$N$14)))/39.36</f>
        <v>1.1293714860619302</v>
      </c>
      <c r="T44" s="12"/>
      <c r="V44" s="2">
        <v>0.8</v>
      </c>
      <c r="W44" s="12">
        <f>(1/V44)*K44*'Hydrolysis &amp; Fuel Cells'!$Q$11/1000</f>
        <v>10808437.499999998</v>
      </c>
      <c r="X44" s="13">
        <f t="shared" si="4"/>
        <v>450.35156249999994</v>
      </c>
    </row>
    <row r="45" spans="2:29" ht="12.75">
      <c r="B45" s="59"/>
      <c r="C45" s="59"/>
      <c r="D45" s="59"/>
      <c r="E45" s="59"/>
      <c r="F45" s="60">
        <v>0.5</v>
      </c>
      <c r="G45" s="60">
        <v>0.8</v>
      </c>
      <c r="H45" s="60">
        <f>F45*G45</f>
        <v>0.4</v>
      </c>
      <c r="I45" s="61"/>
      <c r="J45" s="62">
        <f>(1/H45)*($C$43/('Hydrolysis &amp; Fuel Cells'!$S$11/1000))/1000</f>
        <v>443276.0234470543</v>
      </c>
      <c r="K45" s="63">
        <f>1000*J45/'Hydrolysis &amp; Fuel Cells'!$M$8</f>
        <v>4931864969.370875</v>
      </c>
      <c r="L45" s="62">
        <f>1000*J45/'Hydrogen Factoids'!$H$28</f>
        <v>4289.15312175355</v>
      </c>
      <c r="M45" s="62">
        <f>K45/'Hydrogen Factoids'!$F$8</f>
        <v>24643.29895691836</v>
      </c>
      <c r="N45" s="62"/>
      <c r="O45" s="62">
        <f>J45*'Hydrolysis &amp; Fuel Cells'!$O$33</f>
        <v>3961312.4776762477</v>
      </c>
      <c r="P45" s="62">
        <f>1000*O45/'Units, Constants &amp; Conversions'!$I$75</f>
        <v>3961312.4776762486</v>
      </c>
      <c r="Q45" s="62">
        <f t="shared" si="3"/>
        <v>139785020.04424942</v>
      </c>
      <c r="R45" s="62">
        <f>Q45/'Units, Constants &amp; Conversions'!$E$55</f>
        <v>1045512490.981671</v>
      </c>
      <c r="S45" s="64">
        <f>('Land Area Factoids'!$P$14*(R45/('Land Area Factoids'!$N$14)))/39.36</f>
        <v>1.8973440965840431</v>
      </c>
      <c r="T45" s="62"/>
      <c r="U45" s="59"/>
      <c r="V45" s="60">
        <v>0.8</v>
      </c>
      <c r="W45" s="62">
        <f>(1/V45)*K45*'Hydrolysis &amp; Fuel Cells'!$Q$11/1000</f>
        <v>18158175</v>
      </c>
      <c r="X45" s="61">
        <f t="shared" si="4"/>
        <v>756.590625</v>
      </c>
      <c r="Y45" s="59"/>
      <c r="Z45" s="59"/>
      <c r="AA45" s="59"/>
      <c r="AB45" s="59"/>
      <c r="AC45" s="59"/>
    </row>
    <row r="46" spans="2:24" ht="12.75">
      <c r="B46" t="str">
        <f>B25</f>
        <v>"Gasoline" (@ 30%</v>
      </c>
      <c r="C46" s="13">
        <f>G25</f>
        <v>5533919.999999999</v>
      </c>
      <c r="D46" s="13">
        <f>H25</f>
        <v>230.57999999999996</v>
      </c>
      <c r="F46" s="2">
        <v>1</v>
      </c>
      <c r="G46" s="2">
        <v>1</v>
      </c>
      <c r="H46" s="2">
        <f t="shared" si="2"/>
        <v>1</v>
      </c>
      <c r="I46" s="13"/>
      <c r="J46" s="12">
        <f>(1/H46)*($C$43/('Hydrolysis &amp; Fuel Cells'!$S$11/1000))/1000</f>
        <v>177310.40937882173</v>
      </c>
      <c r="K46" s="6">
        <f>1000*J46/'Hydrolysis &amp; Fuel Cells'!$M$8</f>
        <v>1972745987.7483504</v>
      </c>
      <c r="L46" s="12">
        <f>1000*J46/'Hydrogen Factoids'!$H$28</f>
        <v>1715.66124870142</v>
      </c>
      <c r="M46" s="12">
        <f>K46/'Hydrogen Factoids'!$F$8</f>
        <v>9857.319582767344</v>
      </c>
      <c r="N46" s="12"/>
      <c r="O46" s="12">
        <f>J46*'Hydrolysis &amp; Fuel Cells'!$O$33</f>
        <v>1584524.991070499</v>
      </c>
      <c r="P46" s="12">
        <f>1000*O46/'Units, Constants &amp; Conversions'!$I$75</f>
        <v>1584524.9910704994</v>
      </c>
      <c r="Q46" s="12">
        <f t="shared" si="3"/>
        <v>55914008.01769977</v>
      </c>
      <c r="R46" s="12">
        <f>Q46/'Units, Constants &amp; Conversions'!$E$55</f>
        <v>418204996.3926684</v>
      </c>
      <c r="S46" s="11">
        <f>('Land Area Factoids'!$P$14*(R46/('Land Area Factoids'!$N$14)))/39.36</f>
        <v>0.7589376386336174</v>
      </c>
      <c r="T46" s="12"/>
      <c r="V46" s="2">
        <v>1</v>
      </c>
      <c r="W46" s="12">
        <f>(1/V46)*K46*'Hydrolysis &amp; Fuel Cells'!$Q$11/1000</f>
        <v>5810616</v>
      </c>
      <c r="X46" s="13">
        <f t="shared" si="4"/>
        <v>242.109</v>
      </c>
    </row>
    <row r="47" spans="6:24" ht="12.75">
      <c r="F47" s="2">
        <v>0.8</v>
      </c>
      <c r="G47" s="2">
        <v>0.8</v>
      </c>
      <c r="H47" s="2">
        <f t="shared" si="2"/>
        <v>0.6400000000000001</v>
      </c>
      <c r="I47" s="13"/>
      <c r="J47" s="12">
        <f>(1/H47)*($C$43/('Hydrolysis &amp; Fuel Cells'!$S$11/1000))/1000</f>
        <v>277047.5146544089</v>
      </c>
      <c r="K47" s="6">
        <f>1000*J47/'Hydrolysis &amp; Fuel Cells'!$M$8</f>
        <v>3082415605.856797</v>
      </c>
      <c r="L47" s="12">
        <f>1000*J47/'Hydrogen Factoids'!$H$28</f>
        <v>2680.7207010959687</v>
      </c>
      <c r="M47" s="12">
        <f>K47/'Hydrogen Factoids'!$F$8</f>
        <v>15402.061848073974</v>
      </c>
      <c r="N47" s="12"/>
      <c r="O47" s="12">
        <f>J47*'Hydrolysis &amp; Fuel Cells'!$O$33</f>
        <v>2475820.2985476544</v>
      </c>
      <c r="P47" s="12">
        <f>1000*O47/'Units, Constants &amp; Conversions'!$I$75</f>
        <v>2475820.2985476553</v>
      </c>
      <c r="Q47" s="12">
        <f t="shared" si="3"/>
        <v>87365637.52765588</v>
      </c>
      <c r="R47" s="12">
        <f>Q47/'Units, Constants &amp; Conversions'!$E$55</f>
        <v>653445306.8635443</v>
      </c>
      <c r="S47" s="11">
        <f>('Land Area Factoids'!$P$14*(R47/('Land Area Factoids'!$N$14)))/39.36</f>
        <v>1.185840060365027</v>
      </c>
      <c r="T47" s="12"/>
      <c r="V47" s="2">
        <v>0.8</v>
      </c>
      <c r="W47" s="12">
        <f>(1/V47)*K47*'Hydrolysis &amp; Fuel Cells'!$Q$11/1000</f>
        <v>11348859.374999998</v>
      </c>
      <c r="X47" s="13">
        <f t="shared" si="4"/>
        <v>472.86914062499994</v>
      </c>
    </row>
    <row r="48" spans="6:24" s="59" customFormat="1" ht="12.75">
      <c r="F48" s="60">
        <v>0.5</v>
      </c>
      <c r="G48" s="60">
        <v>0.8</v>
      </c>
      <c r="H48" s="60">
        <f t="shared" si="2"/>
        <v>0.4</v>
      </c>
      <c r="I48" s="61"/>
      <c r="J48" s="62">
        <f>(1/H48)*($C$46/('Hydrolysis &amp; Fuel Cells'!$S$11/1000))/1000</f>
        <v>422167.64137814695</v>
      </c>
      <c r="K48" s="63">
        <f>1000*J48/'Hydrolysis &amp; Fuel Cells'!$M$8</f>
        <v>4697014256.543691</v>
      </c>
      <c r="L48" s="62">
        <f>1000*J48/'Hydrogen Factoids'!$H$28</f>
        <v>4084.907735003381</v>
      </c>
      <c r="M48" s="62">
        <f>K48/'Hydrogen Factoids'!$F$8</f>
        <v>23469.808530398437</v>
      </c>
      <c r="N48" s="62"/>
      <c r="O48" s="62">
        <f>J48*'Hydrolysis &amp; Fuel Cells'!$O$33</f>
        <v>3772678.5501678544</v>
      </c>
      <c r="P48" s="62">
        <f>1000*O48/'Units, Constants &amp; Conversions'!$I$75</f>
        <v>3772678.5501678553</v>
      </c>
      <c r="Q48" s="62">
        <f t="shared" si="3"/>
        <v>133128590.51833276</v>
      </c>
      <c r="R48" s="62">
        <f>Q48/'Units, Constants &amp; Conversions'!$E$55</f>
        <v>995726181.8873055</v>
      </c>
      <c r="S48" s="64">
        <f>('Land Area Factoids'!$P$14*(R48/('Land Area Factoids'!$N$14)))/39.36</f>
        <v>1.8069943776990882</v>
      </c>
      <c r="T48" s="62"/>
      <c r="V48" s="60">
        <v>0.8</v>
      </c>
      <c r="W48" s="62">
        <f>(1/V48)*K48*'Hydrolysis &amp; Fuel Cells'!$Q$11/1000</f>
        <v>17293499.999999996</v>
      </c>
      <c r="X48" s="61">
        <f t="shared" si="4"/>
        <v>720.5624999999999</v>
      </c>
    </row>
    <row r="49" spans="2:24" ht="12.75">
      <c r="B49" t="str">
        <f>B26</f>
        <v>"Gasoline" (@ 25%</v>
      </c>
      <c r="C49" s="13">
        <f>G26</f>
        <v>4611600</v>
      </c>
      <c r="D49" s="13">
        <f>H26</f>
        <v>192.15</v>
      </c>
      <c r="F49" s="2">
        <v>1</v>
      </c>
      <c r="G49" s="2">
        <v>1</v>
      </c>
      <c r="H49" s="2">
        <f t="shared" si="2"/>
        <v>1</v>
      </c>
      <c r="I49" s="13"/>
      <c r="J49" s="12">
        <f>(1/H49)*($C$49/('Hydrolysis &amp; Fuel Cells'!$S$11/1000))/1000</f>
        <v>140722.54712604897</v>
      </c>
      <c r="K49" s="6">
        <f>1000*J49/'Hydrolysis &amp; Fuel Cells'!$M$8</f>
        <v>1565671418.847897</v>
      </c>
      <c r="L49" s="12">
        <f>1000*J49/'Hydrogen Factoids'!$H$28</f>
        <v>1361.6359116677936</v>
      </c>
      <c r="M49" s="12">
        <f>K49/'Hydrogen Factoids'!$F$8</f>
        <v>7823.269510132813</v>
      </c>
      <c r="N49" s="12"/>
      <c r="O49" s="12">
        <f>J49*'Hydrolysis &amp; Fuel Cells'!$O$33</f>
        <v>1257559.5167226181</v>
      </c>
      <c r="P49" s="12">
        <f>1000*O49/'Units, Constants &amp; Conversions'!$I$75</f>
        <v>1257559.5167226184</v>
      </c>
      <c r="Q49" s="12">
        <f t="shared" si="3"/>
        <v>44376196.83944426</v>
      </c>
      <c r="R49" s="12">
        <f>Q49/'Units, Constants &amp; Conversions'!$E$55</f>
        <v>331908727.29576856</v>
      </c>
      <c r="S49" s="11">
        <f>('Land Area Factoids'!$P$14*(R49/('Land Area Factoids'!$N$14)))/39.36</f>
        <v>0.6023314592330296</v>
      </c>
      <c r="T49" s="12"/>
      <c r="V49" s="2">
        <v>1</v>
      </c>
      <c r="W49" s="12">
        <f>(1/V49)*K49*'Hydrolysis &amp; Fuel Cells'!$Q$11/1000</f>
        <v>4611600</v>
      </c>
      <c r="X49" s="13">
        <f t="shared" si="4"/>
        <v>192.15</v>
      </c>
    </row>
    <row r="50" spans="6:24" ht="12.75">
      <c r="F50" s="2">
        <v>0.8</v>
      </c>
      <c r="G50" s="2">
        <v>0.8</v>
      </c>
      <c r="H50" s="2">
        <f t="shared" si="2"/>
        <v>0.6400000000000001</v>
      </c>
      <c r="I50" s="13"/>
      <c r="J50" s="12">
        <f>(1/H50)*($C$49/('Hydrolysis &amp; Fuel Cells'!$S$11/1000))/1000</f>
        <v>219878.97988445152</v>
      </c>
      <c r="K50" s="6">
        <f>1000*J50/'Hydrolysis &amp; Fuel Cells'!$M$8</f>
        <v>2446361591.9498386</v>
      </c>
      <c r="L50" s="12">
        <f>1000*J50/'Hydrogen Factoids'!$H$28</f>
        <v>2127.556111980927</v>
      </c>
      <c r="M50" s="12">
        <f>K50/'Hydrogen Factoids'!$F$8</f>
        <v>12223.858609582518</v>
      </c>
      <c r="N50" s="12"/>
      <c r="O50" s="12">
        <f>J50*'Hydrolysis &amp; Fuel Cells'!$O$33</f>
        <v>1964936.7448790907</v>
      </c>
      <c r="P50" s="12">
        <f>1000*O50/'Units, Constants &amp; Conversions'!$I$75</f>
        <v>1964936.7448790912</v>
      </c>
      <c r="Q50" s="12">
        <f t="shared" si="3"/>
        <v>69337807.56163165</v>
      </c>
      <c r="R50" s="12">
        <f>Q50/'Units, Constants &amp; Conversions'!$E$55</f>
        <v>518607386.3996383</v>
      </c>
      <c r="S50" s="11">
        <f>('Land Area Factoids'!$P$14*(R50/('Land Area Factoids'!$N$14)))/39.36</f>
        <v>0.9411429050516085</v>
      </c>
      <c r="T50" s="12"/>
      <c r="V50" s="2">
        <v>0.8</v>
      </c>
      <c r="W50" s="12">
        <f>(1/V50)*K50*'Hydrolysis &amp; Fuel Cells'!$Q$11/1000</f>
        <v>9007031.249999998</v>
      </c>
      <c r="X50" s="13">
        <f t="shared" si="4"/>
        <v>375.29296874999994</v>
      </c>
    </row>
    <row r="51" spans="2:24" ht="12.75">
      <c r="B51" t="str">
        <f>B27</f>
        <v>"Gasoline" (@ 20%</v>
      </c>
      <c r="C51" s="13">
        <f>G27</f>
        <v>3689280.0000000005</v>
      </c>
      <c r="D51" s="13">
        <f>H27</f>
        <v>153.72000000000003</v>
      </c>
      <c r="F51" s="2">
        <v>1</v>
      </c>
      <c r="G51" s="2">
        <v>1</v>
      </c>
      <c r="H51" s="2">
        <f t="shared" si="2"/>
        <v>1</v>
      </c>
      <c r="I51" s="13"/>
      <c r="J51" s="12">
        <f>(1/H51)*($C$51/('Hydrolysis &amp; Fuel Cells'!$S$11/1000))/1000</f>
        <v>112578.03770083921</v>
      </c>
      <c r="K51" s="6">
        <f>1000*J51/'Hydrolysis &amp; Fuel Cells'!$M$8</f>
        <v>1252537135.0783179</v>
      </c>
      <c r="L51" s="12">
        <f>1000*J51/'Hydrogen Factoids'!$H$28</f>
        <v>1089.308729334235</v>
      </c>
      <c r="M51" s="12">
        <f>K51/'Hydrogen Factoids'!$F$8</f>
        <v>6258.615608106252</v>
      </c>
      <c r="N51" s="12"/>
      <c r="O51" s="12">
        <f>J51*'Hydrolysis &amp; Fuel Cells'!$O$33</f>
        <v>1006047.6133780947</v>
      </c>
      <c r="P51" s="12">
        <f>1000*O51/'Units, Constants &amp; Conversions'!$I$75</f>
        <v>1006047.613378095</v>
      </c>
      <c r="Q51" s="12">
        <f t="shared" si="3"/>
        <v>35500957.47155541</v>
      </c>
      <c r="R51" s="12">
        <f>Q51/'Units, Constants &amp; Conversions'!$E$55</f>
        <v>265526981.83661488</v>
      </c>
      <c r="S51" s="11">
        <f>('Land Area Factoids'!$P$14*(R51/('Land Area Factoids'!$N$14)))/39.36</f>
        <v>0.48186516738642365</v>
      </c>
      <c r="T51" s="12"/>
      <c r="V51" s="2">
        <v>1</v>
      </c>
      <c r="W51" s="12">
        <f>(1/V51)*K51*'Hydrolysis &amp; Fuel Cells'!$Q$11/1000</f>
        <v>3689280.0000000005</v>
      </c>
      <c r="X51" s="13">
        <f t="shared" si="4"/>
        <v>153.72000000000003</v>
      </c>
    </row>
    <row r="52" spans="6:24" ht="12.75">
      <c r="F52" s="2">
        <v>0.8</v>
      </c>
      <c r="G52" s="2">
        <v>0.8</v>
      </c>
      <c r="H52" s="2">
        <f t="shared" si="2"/>
        <v>0.6400000000000001</v>
      </c>
      <c r="I52" s="13"/>
      <c r="J52" s="12">
        <f>(1/H52)*($C$51/('Hydrolysis &amp; Fuel Cells'!$S$11/1000))/1000</f>
        <v>175903.18390756124</v>
      </c>
      <c r="K52" s="6">
        <f>1000*J52/'Hydrolysis &amp; Fuel Cells'!$M$8</f>
        <v>1957089273.5598714</v>
      </c>
      <c r="L52" s="12">
        <f>1000*J52/'Hydrogen Factoids'!$H$28</f>
        <v>1702.0448895847421</v>
      </c>
      <c r="M52" s="12">
        <f>K52/'Hydrogen Factoids'!$F$8</f>
        <v>9779.086887666017</v>
      </c>
      <c r="N52" s="12"/>
      <c r="O52" s="12">
        <f>J52*'Hydrolysis &amp; Fuel Cells'!$O$33</f>
        <v>1571949.3959032728</v>
      </c>
      <c r="P52" s="12">
        <f>1000*O52/'Units, Constants &amp; Conversions'!$I$75</f>
        <v>1571949.3959032733</v>
      </c>
      <c r="Q52" s="12">
        <f t="shared" si="3"/>
        <v>55470246.04930533</v>
      </c>
      <c r="R52" s="12">
        <f>Q52/'Units, Constants &amp; Conversions'!$E$55</f>
        <v>414885909.1197107</v>
      </c>
      <c r="S52" s="11">
        <f>('Land Area Factoids'!$P$14*(R52/('Land Area Factoids'!$N$14)))/39.36</f>
        <v>0.752914324041287</v>
      </c>
      <c r="T52" s="12"/>
      <c r="V52" s="2">
        <v>0.8</v>
      </c>
      <c r="W52" s="12">
        <f>(1/V52)*K52*'Hydrolysis &amp; Fuel Cells'!$Q$11/1000</f>
        <v>7205625</v>
      </c>
      <c r="X52" s="13">
        <f t="shared" si="4"/>
        <v>300.234375</v>
      </c>
    </row>
    <row r="53" spans="6:24" ht="13.5" thickBot="1">
      <c r="F53" s="2"/>
      <c r="G53" s="2"/>
      <c r="H53" s="2"/>
      <c r="I53" s="13"/>
      <c r="J53" s="12"/>
      <c r="K53" s="6"/>
      <c r="L53" s="12"/>
      <c r="M53" s="12"/>
      <c r="N53" s="12"/>
      <c r="O53" s="12"/>
      <c r="P53" s="12"/>
      <c r="Q53" s="12"/>
      <c r="R53" s="12"/>
      <c r="S53" s="12"/>
      <c r="T53" s="12"/>
      <c r="V53" s="2"/>
      <c r="W53" s="12"/>
      <c r="X53" s="13"/>
    </row>
    <row r="54" spans="2:24" ht="12.75">
      <c r="B54" s="88" t="s">
        <v>290</v>
      </c>
      <c r="C54" s="29"/>
      <c r="D54" s="29"/>
      <c r="E54" s="29"/>
      <c r="F54" s="66"/>
      <c r="G54" s="66"/>
      <c r="H54" s="66"/>
      <c r="I54" s="67"/>
      <c r="J54" s="68"/>
      <c r="K54" s="69"/>
      <c r="L54" s="12"/>
      <c r="M54" s="12"/>
      <c r="N54" s="12"/>
      <c r="O54" s="12"/>
      <c r="P54" s="12"/>
      <c r="Q54" s="12"/>
      <c r="R54" s="12"/>
      <c r="S54" s="12"/>
      <c r="T54" s="12"/>
      <c r="V54" s="2"/>
      <c r="W54" s="12"/>
      <c r="X54" s="13"/>
    </row>
    <row r="55" spans="2:24" ht="12.75">
      <c r="B55" s="31"/>
      <c r="C55" s="44" t="s">
        <v>185</v>
      </c>
      <c r="D55" s="32"/>
      <c r="E55" s="32"/>
      <c r="F55" s="70"/>
      <c r="G55" s="70"/>
      <c r="H55" s="70"/>
      <c r="I55" s="41"/>
      <c r="J55" s="36"/>
      <c r="K55" s="71"/>
      <c r="L55" s="12"/>
      <c r="M55" s="12"/>
      <c r="N55" s="12"/>
      <c r="O55" s="12"/>
      <c r="P55" s="12"/>
      <c r="Q55" s="12"/>
      <c r="R55" s="12"/>
      <c r="S55" s="12"/>
      <c r="T55" s="12"/>
      <c r="V55" s="2"/>
      <c r="W55" s="12"/>
      <c r="X55" s="13"/>
    </row>
    <row r="56" spans="2:25" ht="12.75">
      <c r="B56" s="72" t="s">
        <v>187</v>
      </c>
      <c r="C56" s="73" t="s">
        <v>186</v>
      </c>
      <c r="D56" s="73" t="s">
        <v>291</v>
      </c>
      <c r="E56" s="73" t="s">
        <v>295</v>
      </c>
      <c r="F56" s="73" t="s">
        <v>292</v>
      </c>
      <c r="G56" s="73" t="s">
        <v>293</v>
      </c>
      <c r="H56" s="73" t="s">
        <v>294</v>
      </c>
      <c r="I56" s="74" t="s">
        <v>296</v>
      </c>
      <c r="J56" s="73" t="s">
        <v>297</v>
      </c>
      <c r="K56" s="75"/>
      <c r="L56" s="6"/>
      <c r="M56" s="12"/>
      <c r="N56" s="12"/>
      <c r="O56" s="12"/>
      <c r="P56" s="12"/>
      <c r="Q56" s="12"/>
      <c r="R56" s="12"/>
      <c r="S56" s="12"/>
      <c r="T56" s="12"/>
      <c r="U56" s="12"/>
      <c r="W56" s="2"/>
      <c r="X56" s="12"/>
      <c r="Y56" s="13"/>
    </row>
    <row r="57" spans="2:25" ht="12.75">
      <c r="B57" s="76">
        <v>230000</v>
      </c>
      <c r="C57" s="77">
        <f>1000*B57/'Hydrolysis &amp; Fuel Cells'!$M$8</f>
        <v>2558967512.23854</v>
      </c>
      <c r="D57" s="36">
        <f>1000*B57/'Units, Constants &amp; Conversions'!$E$81</f>
        <v>3248587.570621469</v>
      </c>
      <c r="E57" s="78">
        <f>D57^(1/3)</f>
        <v>148.10334227787448</v>
      </c>
      <c r="F57" s="41">
        <f>$D$57/'Units, Constants &amp; Conversions'!$I$55</f>
        <v>857402414.5464377</v>
      </c>
      <c r="G57" s="36">
        <f>$F$57/42</f>
        <v>20414343.203486614</v>
      </c>
      <c r="H57" s="79">
        <f>$D$57/'Units, Constants &amp; Conversions'!$G$54</f>
        <v>3248587570.621469</v>
      </c>
      <c r="I57" s="36">
        <f>1000*$B$57/'Hydrogen Factoids'!$H$28</f>
        <v>2225.4874295522245</v>
      </c>
      <c r="J57" s="36">
        <f>$C$57/'Hydrogen Factoids'!$F$8</f>
        <v>12786.52230277511</v>
      </c>
      <c r="K57" s="80"/>
      <c r="L57" s="6"/>
      <c r="M57" s="12"/>
      <c r="N57" s="12"/>
      <c r="O57" s="12"/>
      <c r="P57" s="12"/>
      <c r="Q57" s="12"/>
      <c r="R57" s="12"/>
      <c r="S57" s="12"/>
      <c r="T57" s="12"/>
      <c r="U57" s="12"/>
      <c r="W57" s="2"/>
      <c r="X57" s="12"/>
      <c r="Y57" s="13"/>
    </row>
    <row r="58" spans="2:24" ht="12.75">
      <c r="B58" s="31"/>
      <c r="C58" s="32"/>
      <c r="D58" s="32"/>
      <c r="E58" s="32"/>
      <c r="F58" s="70"/>
      <c r="G58" s="70"/>
      <c r="H58" s="70"/>
      <c r="I58" s="41"/>
      <c r="J58" s="36"/>
      <c r="K58" s="71"/>
      <c r="L58" s="12"/>
      <c r="M58" s="12"/>
      <c r="N58" s="12"/>
      <c r="O58" s="12"/>
      <c r="P58" s="12"/>
      <c r="Q58" s="12"/>
      <c r="R58" s="12"/>
      <c r="S58" s="12"/>
      <c r="T58" s="12"/>
      <c r="V58" s="2"/>
      <c r="W58" s="12"/>
      <c r="X58" s="13"/>
    </row>
    <row r="59" spans="2:11" ht="12.75">
      <c r="B59" s="31"/>
      <c r="C59" s="44" t="s">
        <v>298</v>
      </c>
      <c r="D59" s="32"/>
      <c r="E59" s="32"/>
      <c r="F59" s="32"/>
      <c r="G59" s="32"/>
      <c r="H59" s="41"/>
      <c r="I59" s="32"/>
      <c r="J59" s="32"/>
      <c r="K59" s="34"/>
    </row>
    <row r="60" spans="2:11" ht="12.75">
      <c r="B60" s="72" t="s">
        <v>187</v>
      </c>
      <c r="C60" s="73" t="s">
        <v>74</v>
      </c>
      <c r="D60" s="73" t="s">
        <v>163</v>
      </c>
      <c r="E60" s="73" t="s">
        <v>276</v>
      </c>
      <c r="F60" s="73" t="s">
        <v>326</v>
      </c>
      <c r="G60" s="73" t="s">
        <v>277</v>
      </c>
      <c r="H60" s="73" t="s">
        <v>80</v>
      </c>
      <c r="I60" s="73" t="s">
        <v>325</v>
      </c>
      <c r="J60" s="41"/>
      <c r="K60" s="34"/>
    </row>
    <row r="61" spans="2:11" ht="13.5" thickBot="1">
      <c r="B61" s="81">
        <f>$B$57*'Hydrolysis &amp; Fuel Cells'!$O$33</f>
        <v>2055382.6998819406</v>
      </c>
      <c r="C61" s="82">
        <f>1000*B61/'Units, Constants &amp; Conversions'!$I$75</f>
        <v>2055382.699881941</v>
      </c>
      <c r="D61" s="83">
        <f>C61^(1/3)</f>
        <v>127.14449628822653</v>
      </c>
      <c r="E61" s="82">
        <f>C61*3.28^3</f>
        <v>72529423.90198436</v>
      </c>
      <c r="F61" s="84">
        <f>E61^(1/3)</f>
        <v>417.033947825383</v>
      </c>
      <c r="G61" s="82">
        <f>E61/'Units, Constants &amp; Conversions'!$E$55</f>
        <v>542478862.3933011</v>
      </c>
      <c r="H61" s="85">
        <f>G61/42</f>
        <v>12916163.390316693</v>
      </c>
      <c r="I61" s="86">
        <f>('Land Area Factoids'!$P$14*(G61/('Land Area Factoids'!$N$14)))/39.36</f>
        <v>0.984463673042431</v>
      </c>
      <c r="J61" s="38"/>
      <c r="K61" s="87"/>
    </row>
    <row r="62" spans="3:9" ht="12.75">
      <c r="C62" s="24"/>
      <c r="D62" s="24"/>
      <c r="E62" s="24"/>
      <c r="F62" s="24"/>
      <c r="G62" s="24"/>
      <c r="I62" s="13"/>
    </row>
    <row r="63" spans="3:9" ht="13.5" thickBot="1">
      <c r="C63" s="24"/>
      <c r="D63" s="24"/>
      <c r="E63" s="24"/>
      <c r="F63" s="24"/>
      <c r="G63" s="24"/>
      <c r="I63" s="13"/>
    </row>
    <row r="64" spans="2:11" ht="12.75">
      <c r="B64" s="88" t="s">
        <v>327</v>
      </c>
      <c r="C64" s="29"/>
      <c r="D64" s="29"/>
      <c r="E64" s="29"/>
      <c r="F64" s="66"/>
      <c r="G64" s="66"/>
      <c r="H64" s="66"/>
      <c r="I64" s="67"/>
      <c r="J64" s="68"/>
      <c r="K64" s="69"/>
    </row>
    <row r="65" spans="2:11" ht="12.75">
      <c r="B65" s="31"/>
      <c r="C65" s="44" t="s">
        <v>185</v>
      </c>
      <c r="D65" s="32"/>
      <c r="E65" s="32"/>
      <c r="F65" s="70"/>
      <c r="G65" s="70"/>
      <c r="H65" s="70"/>
      <c r="I65" s="41"/>
      <c r="J65" s="36"/>
      <c r="K65" s="71"/>
    </row>
    <row r="66" spans="2:11" ht="12.75">
      <c r="B66" s="72" t="s">
        <v>187</v>
      </c>
      <c r="C66" s="73" t="s">
        <v>186</v>
      </c>
      <c r="D66" s="73" t="s">
        <v>291</v>
      </c>
      <c r="E66" s="73" t="s">
        <v>295</v>
      </c>
      <c r="F66" s="73" t="s">
        <v>292</v>
      </c>
      <c r="G66" s="73" t="s">
        <v>293</v>
      </c>
      <c r="H66" s="73" t="s">
        <v>294</v>
      </c>
      <c r="I66" s="74" t="s">
        <v>296</v>
      </c>
      <c r="J66" s="73" t="s">
        <v>297</v>
      </c>
      <c r="K66" s="75"/>
    </row>
    <row r="67" spans="2:11" ht="12.75">
      <c r="B67" s="76">
        <v>440000</v>
      </c>
      <c r="C67" s="77">
        <f>1000*B67/'Hydrolysis &amp; Fuel Cells'!$M$8</f>
        <v>4895416110.369381</v>
      </c>
      <c r="D67" s="36">
        <f>1000*B67/'Units, Constants &amp; Conversions'!$E$81</f>
        <v>6214689.265536724</v>
      </c>
      <c r="E67" s="78">
        <f>D67^(1/3)</f>
        <v>183.85402396500646</v>
      </c>
      <c r="F67" s="77">
        <f>$D$67/'Units, Constants &amp; Conversions'!$I$55</f>
        <v>1640248097.3931851</v>
      </c>
      <c r="G67" s="36">
        <f>$F$67/42</f>
        <v>39053526.12840917</v>
      </c>
      <c r="H67" s="79">
        <f>$D$67/'Units, Constants &amp; Conversions'!$G$54</f>
        <v>6214689265.536723</v>
      </c>
      <c r="I67" s="36">
        <f>1000*B67/'Hydrogen Factoids'!$H$28</f>
        <v>4257.45421305643</v>
      </c>
      <c r="J67" s="36">
        <f>C67/'Hydrogen Factoids'!$F$8</f>
        <v>24461.173100961078</v>
      </c>
      <c r="K67" s="80"/>
    </row>
    <row r="68" spans="2:11" ht="12.75">
      <c r="B68" s="31"/>
      <c r="C68" s="32"/>
      <c r="D68" s="32"/>
      <c r="E68" s="32"/>
      <c r="F68" s="70"/>
      <c r="G68" s="70"/>
      <c r="H68" s="70"/>
      <c r="I68" s="41"/>
      <c r="J68" s="36"/>
      <c r="K68" s="71"/>
    </row>
    <row r="69" spans="2:11" ht="12.75">
      <c r="B69" s="31"/>
      <c r="C69" s="44" t="s">
        <v>298</v>
      </c>
      <c r="D69" s="32"/>
      <c r="E69" s="32"/>
      <c r="F69" s="32"/>
      <c r="G69" s="32"/>
      <c r="H69" s="41"/>
      <c r="I69" s="32"/>
      <c r="J69" s="32"/>
      <c r="K69" s="34"/>
    </row>
    <row r="70" spans="2:11" ht="12.75">
      <c r="B70" s="72" t="s">
        <v>187</v>
      </c>
      <c r="C70" s="73" t="s">
        <v>74</v>
      </c>
      <c r="D70" s="73" t="s">
        <v>163</v>
      </c>
      <c r="E70" s="73" t="s">
        <v>276</v>
      </c>
      <c r="F70" s="73" t="s">
        <v>326</v>
      </c>
      <c r="G70" s="73" t="s">
        <v>277</v>
      </c>
      <c r="H70" s="73" t="s">
        <v>80</v>
      </c>
      <c r="I70" s="73" t="s">
        <v>325</v>
      </c>
      <c r="J70" s="41"/>
      <c r="K70" s="34"/>
    </row>
    <row r="71" spans="2:11" ht="13.5" thickBot="1">
      <c r="B71" s="81">
        <f>B67*'Hydrolysis &amp; Fuel Cells'!$O$33</f>
        <v>3932036.4693393647</v>
      </c>
      <c r="C71" s="82">
        <f>1000*B71/'Units, Constants &amp; Conversions'!$I$75</f>
        <v>3932036.4693393656</v>
      </c>
      <c r="D71" s="83">
        <f>C71^(1/3)</f>
        <v>157.8359198925822</v>
      </c>
      <c r="E71" s="82">
        <f>C71*3.28^3</f>
        <v>138751941.37770924</v>
      </c>
      <c r="F71" s="84">
        <f>E71^(1/3)</f>
        <v>517.7018172476701</v>
      </c>
      <c r="G71" s="82">
        <f>E71/'Units, Constants &amp; Conversions'!$E$55</f>
        <v>1037785649.7958806</v>
      </c>
      <c r="H71" s="85">
        <f>G71/42</f>
        <v>24709182.137997158</v>
      </c>
      <c r="I71" s="86">
        <f>('Land Area Factoids'!$P$14*(G71/('Land Area Factoids'!$N$14)))/39.36</f>
        <v>1.8833218092985637</v>
      </c>
      <c r="J71" s="38"/>
      <c r="K71" s="87"/>
    </row>
    <row r="72" spans="3:9" ht="12.75">
      <c r="C72" s="24"/>
      <c r="D72" s="24"/>
      <c r="E72" s="24"/>
      <c r="F72" s="24"/>
      <c r="G72" s="24"/>
      <c r="I72" s="13"/>
    </row>
    <row r="73" spans="3:9" ht="13.5" thickBot="1">
      <c r="C73" s="24"/>
      <c r="D73" s="24"/>
      <c r="E73" s="24"/>
      <c r="F73" s="24"/>
      <c r="G73" s="24"/>
      <c r="I73" s="13"/>
    </row>
    <row r="74" spans="2:9" ht="12.75">
      <c r="B74" s="65" t="s">
        <v>206</v>
      </c>
      <c r="C74" s="29"/>
      <c r="D74" s="29"/>
      <c r="E74" s="29"/>
      <c r="F74" s="89" t="s">
        <v>215</v>
      </c>
      <c r="G74" s="29"/>
      <c r="H74" s="99">
        <v>400</v>
      </c>
      <c r="I74" s="90" t="s">
        <v>147</v>
      </c>
    </row>
    <row r="75" spans="2:9" ht="12.75">
      <c r="B75" s="40" t="s">
        <v>207</v>
      </c>
      <c r="C75" s="32" t="s">
        <v>208</v>
      </c>
      <c r="D75" s="32"/>
      <c r="E75" s="32"/>
      <c r="F75" s="32"/>
      <c r="G75" s="32"/>
      <c r="H75" s="32"/>
      <c r="I75" s="91"/>
    </row>
    <row r="76" spans="2:9" ht="12.75">
      <c r="B76" s="31" t="s">
        <v>209</v>
      </c>
      <c r="C76" s="32">
        <v>800</v>
      </c>
      <c r="D76" s="32"/>
      <c r="E76" s="32"/>
      <c r="F76" s="32">
        <f>1000*$H$74/C76</f>
        <v>500</v>
      </c>
      <c r="G76" s="32"/>
      <c r="H76" s="32"/>
      <c r="I76" s="34"/>
    </row>
    <row r="77" spans="2:9" ht="12.75">
      <c r="B77" s="92" t="s">
        <v>210</v>
      </c>
      <c r="C77" s="32">
        <v>500</v>
      </c>
      <c r="D77" s="32"/>
      <c r="E77" s="32"/>
      <c r="F77" s="32">
        <f>1000*$H$74/C77</f>
        <v>800</v>
      </c>
      <c r="G77" s="32"/>
      <c r="H77" s="32"/>
      <c r="I77" s="34"/>
    </row>
    <row r="78" spans="2:11" ht="12.75">
      <c r="B78" s="93" t="s">
        <v>211</v>
      </c>
      <c r="C78" s="94">
        <v>2000</v>
      </c>
      <c r="D78" s="95"/>
      <c r="E78" s="95"/>
      <c r="F78" s="32">
        <f>1000*$H$74/C78</f>
        <v>200</v>
      </c>
      <c r="G78" s="95"/>
      <c r="H78" s="95"/>
      <c r="I78" s="34"/>
      <c r="J78" s="1"/>
      <c r="K78" s="1"/>
    </row>
    <row r="79" spans="2:23" ht="13.5" thickBot="1">
      <c r="B79" s="96" t="s">
        <v>212</v>
      </c>
      <c r="C79" s="97">
        <v>2000</v>
      </c>
      <c r="D79" s="98"/>
      <c r="E79" s="98"/>
      <c r="F79" s="38">
        <f>1000*$H$74/C79</f>
        <v>200</v>
      </c>
      <c r="G79" s="98"/>
      <c r="H79" s="98"/>
      <c r="I79" s="39"/>
      <c r="J79" s="24"/>
      <c r="K79" s="24"/>
      <c r="W79" t="s">
        <v>178</v>
      </c>
    </row>
    <row r="80" spans="3:11" ht="12.75">
      <c r="C80" s="24"/>
      <c r="D80" s="27"/>
      <c r="E80" s="24"/>
      <c r="F80" s="2"/>
      <c r="G80" s="2"/>
      <c r="H80" s="2"/>
      <c r="K80" s="13"/>
    </row>
    <row r="81" spans="3:11" ht="13.5" thickBot="1">
      <c r="C81" s="24"/>
      <c r="D81" s="27"/>
      <c r="E81" s="24"/>
      <c r="F81" s="2"/>
      <c r="G81" s="2"/>
      <c r="H81" s="2"/>
      <c r="K81" s="13"/>
    </row>
    <row r="82" spans="2:11" ht="12.75">
      <c r="B82" s="65" t="s">
        <v>206</v>
      </c>
      <c r="C82" s="29"/>
      <c r="D82" s="29"/>
      <c r="E82" s="29"/>
      <c r="F82" s="89" t="s">
        <v>215</v>
      </c>
      <c r="G82" s="29"/>
      <c r="H82" s="99">
        <v>750</v>
      </c>
      <c r="I82" s="90" t="s">
        <v>147</v>
      </c>
      <c r="K82" s="13"/>
    </row>
    <row r="83" spans="2:11" ht="12.75">
      <c r="B83" s="40" t="s">
        <v>207</v>
      </c>
      <c r="C83" s="32" t="s">
        <v>208</v>
      </c>
      <c r="D83" s="32"/>
      <c r="E83" s="32"/>
      <c r="F83" s="32"/>
      <c r="G83" s="32"/>
      <c r="H83" s="32"/>
      <c r="I83" s="91"/>
      <c r="K83" s="13"/>
    </row>
    <row r="84" spans="2:11" ht="12.75">
      <c r="B84" s="31" t="s">
        <v>209</v>
      </c>
      <c r="C84" s="32">
        <v>800</v>
      </c>
      <c r="D84" s="32"/>
      <c r="E84" s="32"/>
      <c r="F84" s="33">
        <f>1000*$H$82/C84</f>
        <v>937.5</v>
      </c>
      <c r="G84" s="32"/>
      <c r="H84" s="32"/>
      <c r="I84" s="34"/>
      <c r="K84" s="13"/>
    </row>
    <row r="85" spans="2:11" ht="12.75">
      <c r="B85" s="92" t="s">
        <v>210</v>
      </c>
      <c r="C85" s="32">
        <v>500</v>
      </c>
      <c r="D85" s="32"/>
      <c r="E85" s="32"/>
      <c r="F85" s="32">
        <f>1000*$H$82/C85</f>
        <v>1500</v>
      </c>
      <c r="G85" s="32"/>
      <c r="H85" s="32"/>
      <c r="I85" s="34"/>
      <c r="K85" s="13"/>
    </row>
    <row r="86" spans="2:11" ht="12.75">
      <c r="B86" s="93" t="s">
        <v>211</v>
      </c>
      <c r="C86" s="94">
        <v>2000</v>
      </c>
      <c r="D86" s="95"/>
      <c r="E86" s="95"/>
      <c r="F86" s="32">
        <f>1000*$H$82/C86</f>
        <v>375</v>
      </c>
      <c r="G86" s="95"/>
      <c r="H86" s="95"/>
      <c r="I86" s="34"/>
      <c r="K86" s="13"/>
    </row>
    <row r="87" spans="2:11" ht="13.5" thickBot="1">
      <c r="B87" s="96" t="s">
        <v>212</v>
      </c>
      <c r="C87" s="97">
        <v>2000</v>
      </c>
      <c r="D87" s="98"/>
      <c r="E87" s="98"/>
      <c r="F87" s="38">
        <f>1000*$H$82/C87</f>
        <v>375</v>
      </c>
      <c r="G87" s="98"/>
      <c r="H87" s="98"/>
      <c r="I87" s="39"/>
      <c r="K87" s="13"/>
    </row>
    <row r="88" spans="6:11" ht="12.75">
      <c r="F88" s="2"/>
      <c r="G88" s="2"/>
      <c r="H88" s="2"/>
      <c r="K88" s="13"/>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B2:N107"/>
  <sheetViews>
    <sheetView workbookViewId="0" topLeftCell="A87">
      <selection activeCell="G105" sqref="G105"/>
    </sheetView>
  </sheetViews>
  <sheetFormatPr defaultColWidth="9.140625" defaultRowHeight="12.75"/>
  <cols>
    <col min="2" max="2" width="10.57421875" style="0" customWidth="1"/>
    <col min="3" max="3" width="12.57421875" style="0" customWidth="1"/>
    <col min="5" max="5" width="14.00390625" style="0" bestFit="1" customWidth="1"/>
    <col min="6" max="6" width="10.00390625" style="0" customWidth="1"/>
    <col min="7" max="7" width="16.7109375" style="0" bestFit="1" customWidth="1"/>
    <col min="9" max="9" width="17.8515625" style="0" bestFit="1" customWidth="1"/>
    <col min="11" max="11" width="11.28125" style="0" bestFit="1" customWidth="1"/>
  </cols>
  <sheetData>
    <row r="2" ht="18">
      <c r="B2" s="4" t="s">
        <v>61</v>
      </c>
    </row>
    <row r="4" ht="12.75">
      <c r="B4" s="5"/>
    </row>
    <row r="5" ht="12.75">
      <c r="B5" s="7" t="s">
        <v>62</v>
      </c>
    </row>
    <row r="6" spans="2:5" ht="12.75">
      <c r="B6" s="5"/>
      <c r="C6" t="s">
        <v>9</v>
      </c>
      <c r="E6" s="6">
        <v>6.023E+23</v>
      </c>
    </row>
    <row r="7" spans="2:5" ht="12.75">
      <c r="B7" s="5"/>
      <c r="C7" t="s">
        <v>10</v>
      </c>
      <c r="E7">
        <v>3.14159</v>
      </c>
    </row>
    <row r="8" spans="2:5" ht="12.75">
      <c r="B8" s="5"/>
      <c r="C8" t="s">
        <v>11</v>
      </c>
      <c r="E8">
        <v>2.71828</v>
      </c>
    </row>
    <row r="9" spans="2:6" ht="12.75">
      <c r="B9" s="5"/>
      <c r="C9" t="s">
        <v>12</v>
      </c>
      <c r="E9" s="6">
        <v>300000000</v>
      </c>
      <c r="F9" t="s">
        <v>13</v>
      </c>
    </row>
    <row r="10" spans="2:6" ht="12.75">
      <c r="B10" s="5"/>
      <c r="C10" t="s">
        <v>23</v>
      </c>
      <c r="E10" s="6">
        <v>-1.6E-19</v>
      </c>
      <c r="F10" t="s">
        <v>24</v>
      </c>
    </row>
    <row r="11" spans="2:6" ht="12.75">
      <c r="B11" s="5"/>
      <c r="C11" t="s">
        <v>30</v>
      </c>
      <c r="E11" s="6">
        <v>9.108E-31</v>
      </c>
      <c r="F11" t="s">
        <v>31</v>
      </c>
    </row>
    <row r="12" spans="2:6" ht="12.75">
      <c r="B12" s="5"/>
      <c r="C12" t="s">
        <v>25</v>
      </c>
      <c r="E12" s="6">
        <v>6.63E-34</v>
      </c>
      <c r="F12" t="s">
        <v>26</v>
      </c>
    </row>
    <row r="13" spans="2:6" ht="12.75">
      <c r="B13" s="5"/>
      <c r="C13" t="s">
        <v>27</v>
      </c>
      <c r="E13" s="6">
        <f>E12/(2*E7)</f>
        <v>1.0551981639870257E-34</v>
      </c>
      <c r="F13" t="s">
        <v>26</v>
      </c>
    </row>
    <row r="14" spans="2:6" ht="12.75">
      <c r="B14" s="5"/>
      <c r="C14" t="s">
        <v>28</v>
      </c>
      <c r="E14" s="6">
        <v>1.38E-23</v>
      </c>
      <c r="F14" t="s">
        <v>29</v>
      </c>
    </row>
    <row r="15" spans="2:6" ht="12.75">
      <c r="B15" s="5"/>
      <c r="C15" t="s">
        <v>49</v>
      </c>
      <c r="E15" s="6">
        <v>5.67E-08</v>
      </c>
      <c r="F15" t="s">
        <v>32</v>
      </c>
    </row>
    <row r="16" spans="2:6" ht="12.75">
      <c r="B16" s="5"/>
      <c r="C16" t="s">
        <v>33</v>
      </c>
      <c r="E16" s="6">
        <v>1.66E-27</v>
      </c>
      <c r="F16" t="s">
        <v>31</v>
      </c>
    </row>
    <row r="17" spans="2:5" ht="12.75">
      <c r="B17" s="5"/>
      <c r="C17" t="s">
        <v>50</v>
      </c>
      <c r="E17" s="6"/>
    </row>
    <row r="18" spans="2:5" ht="12.75">
      <c r="B18" s="5"/>
      <c r="C18" t="s">
        <v>51</v>
      </c>
      <c r="E18" s="6"/>
    </row>
    <row r="19" spans="2:5" ht="12.75">
      <c r="B19" s="5"/>
      <c r="E19" s="6"/>
    </row>
    <row r="20" spans="2:5" ht="12.75">
      <c r="B20" s="5"/>
      <c r="E20" s="6"/>
    </row>
    <row r="21" ht="12.75">
      <c r="B21" s="5"/>
    </row>
    <row r="22" ht="12.75">
      <c r="B22" t="s">
        <v>77</v>
      </c>
    </row>
    <row r="23" spans="2:6" ht="12.75">
      <c r="B23">
        <v>1</v>
      </c>
      <c r="C23" t="s">
        <v>2</v>
      </c>
      <c r="E23">
        <v>3412</v>
      </c>
      <c r="F23" t="s">
        <v>38</v>
      </c>
    </row>
    <row r="24" spans="2:8" ht="12.75">
      <c r="B24">
        <v>1</v>
      </c>
      <c r="C24" t="s">
        <v>3</v>
      </c>
      <c r="E24" s="6">
        <v>1000000000000000</v>
      </c>
      <c r="F24" t="s">
        <v>39</v>
      </c>
      <c r="G24">
        <v>1.055</v>
      </c>
      <c r="H24" t="s">
        <v>8</v>
      </c>
    </row>
    <row r="25" spans="2:6" ht="12.75">
      <c r="B25">
        <v>1</v>
      </c>
      <c r="C25" t="s">
        <v>4</v>
      </c>
      <c r="E25" s="6">
        <v>1E+18</v>
      </c>
      <c r="F25" t="s">
        <v>5</v>
      </c>
    </row>
    <row r="26" spans="2:6" ht="12.75">
      <c r="B26">
        <v>1</v>
      </c>
      <c r="C26" t="s">
        <v>39</v>
      </c>
      <c r="E26">
        <v>1055.06</v>
      </c>
      <c r="F26" t="s">
        <v>7</v>
      </c>
    </row>
    <row r="27" spans="2:10" ht="12.75">
      <c r="B27">
        <v>1</v>
      </c>
      <c r="C27" t="s">
        <v>14</v>
      </c>
      <c r="E27" s="6">
        <v>1.6E-19</v>
      </c>
      <c r="F27" t="s">
        <v>15</v>
      </c>
      <c r="G27" s="6">
        <v>4.45E-26</v>
      </c>
      <c r="H27" t="s">
        <v>2</v>
      </c>
      <c r="I27" s="6">
        <v>1.52E-22</v>
      </c>
      <c r="J27" t="s">
        <v>38</v>
      </c>
    </row>
    <row r="28" spans="2:10" ht="12.75">
      <c r="B28">
        <v>1</v>
      </c>
      <c r="C28" t="s">
        <v>16</v>
      </c>
      <c r="E28" s="9">
        <v>4.148</v>
      </c>
      <c r="F28" t="s">
        <v>15</v>
      </c>
      <c r="G28" s="6">
        <v>1.19E-06</v>
      </c>
      <c r="H28" t="s">
        <v>2</v>
      </c>
      <c r="I28" s="6">
        <v>0.00397</v>
      </c>
      <c r="J28" t="s">
        <v>38</v>
      </c>
    </row>
    <row r="29" spans="2:10" ht="12.75">
      <c r="B29">
        <v>1</v>
      </c>
      <c r="C29" t="s">
        <v>17</v>
      </c>
      <c r="E29" s="6"/>
      <c r="G29" s="6"/>
      <c r="I29" s="10">
        <v>100000</v>
      </c>
      <c r="J29" t="s">
        <v>38</v>
      </c>
    </row>
    <row r="30" spans="2:10" ht="12.75">
      <c r="B30">
        <v>1</v>
      </c>
      <c r="C30" t="s">
        <v>34</v>
      </c>
      <c r="E30" s="3">
        <v>1.36</v>
      </c>
      <c r="F30" t="s">
        <v>6</v>
      </c>
      <c r="G30" s="6">
        <v>3.78E-07</v>
      </c>
      <c r="H30" t="s">
        <v>2</v>
      </c>
      <c r="I30" s="6">
        <v>0.00129</v>
      </c>
      <c r="J30" t="s">
        <v>38</v>
      </c>
    </row>
    <row r="31" spans="5:9" ht="12.75">
      <c r="E31" s="6"/>
      <c r="G31" s="6"/>
      <c r="I31" s="6"/>
    </row>
    <row r="32" spans="2:9" ht="12.75">
      <c r="B32" t="s">
        <v>76</v>
      </c>
      <c r="E32" s="6"/>
      <c r="G32" s="6"/>
      <c r="I32" s="6"/>
    </row>
    <row r="33" spans="2:10" ht="12.75">
      <c r="B33">
        <v>1</v>
      </c>
      <c r="C33" t="s">
        <v>35</v>
      </c>
      <c r="E33" s="12">
        <v>1</v>
      </c>
      <c r="F33" t="s">
        <v>36</v>
      </c>
      <c r="G33" s="6"/>
      <c r="I33" s="3">
        <v>3.41</v>
      </c>
      <c r="J33" t="s">
        <v>37</v>
      </c>
    </row>
    <row r="34" spans="2:12" ht="12.75">
      <c r="B34">
        <v>1</v>
      </c>
      <c r="C34" t="s">
        <v>40</v>
      </c>
      <c r="E34" s="12">
        <v>1000</v>
      </c>
      <c r="F34" t="s">
        <v>36</v>
      </c>
      <c r="G34" s="12">
        <v>239</v>
      </c>
      <c r="H34" t="s">
        <v>41</v>
      </c>
      <c r="I34" s="12">
        <v>3412</v>
      </c>
      <c r="J34" t="s">
        <v>42</v>
      </c>
      <c r="K34">
        <v>1.341</v>
      </c>
      <c r="L34" t="s">
        <v>43</v>
      </c>
    </row>
    <row r="35" spans="2:9" ht="12.75">
      <c r="B35">
        <v>1</v>
      </c>
      <c r="C35" t="s">
        <v>44</v>
      </c>
      <c r="E35" s="10">
        <v>746</v>
      </c>
      <c r="F35" t="s">
        <v>35</v>
      </c>
      <c r="G35" s="12">
        <v>550</v>
      </c>
      <c r="H35" t="s">
        <v>45</v>
      </c>
      <c r="I35" s="6"/>
    </row>
    <row r="36" spans="2:9" ht="12.75">
      <c r="B36">
        <v>1</v>
      </c>
      <c r="C36" t="s">
        <v>203</v>
      </c>
      <c r="E36" s="3">
        <f>B36/24</f>
        <v>0.041666666666666664</v>
      </c>
      <c r="F36" t="s">
        <v>40</v>
      </c>
      <c r="G36" s="3">
        <f>1000*E36</f>
        <v>41.666666666666664</v>
      </c>
      <c r="H36" t="s">
        <v>204</v>
      </c>
      <c r="I36" s="6"/>
    </row>
    <row r="37" spans="5:9" ht="12.75">
      <c r="E37" s="6"/>
      <c r="G37" s="6"/>
      <c r="I37" s="6"/>
    </row>
    <row r="39" ht="12.75">
      <c r="B39" t="s">
        <v>64</v>
      </c>
    </row>
    <row r="40" ht="12.75">
      <c r="B40" t="s">
        <v>82</v>
      </c>
    </row>
    <row r="41" spans="2:6" ht="12.75">
      <c r="B41">
        <v>1</v>
      </c>
      <c r="C41" t="s">
        <v>18</v>
      </c>
      <c r="E41">
        <v>2.54</v>
      </c>
      <c r="F41" t="s">
        <v>19</v>
      </c>
    </row>
    <row r="42" spans="2:8" ht="12.75">
      <c r="B42">
        <v>1</v>
      </c>
      <c r="C42" t="s">
        <v>20</v>
      </c>
      <c r="E42">
        <v>3.28</v>
      </c>
      <c r="F42" t="s">
        <v>21</v>
      </c>
      <c r="G42">
        <v>39.36</v>
      </c>
      <c r="H42" t="s">
        <v>22</v>
      </c>
    </row>
    <row r="43" spans="2:6" ht="12.75">
      <c r="B43">
        <v>1</v>
      </c>
      <c r="C43" t="s">
        <v>46</v>
      </c>
      <c r="E43" s="6">
        <v>1E-06</v>
      </c>
      <c r="F43" t="s">
        <v>47</v>
      </c>
    </row>
    <row r="44" spans="2:8" ht="12.75">
      <c r="B44">
        <v>1</v>
      </c>
      <c r="C44" t="s">
        <v>48</v>
      </c>
      <c r="E44" s="6">
        <v>1E-09</v>
      </c>
      <c r="F44" t="s">
        <v>20</v>
      </c>
      <c r="G44">
        <v>0.1</v>
      </c>
      <c r="H44" t="s">
        <v>52</v>
      </c>
    </row>
    <row r="45" spans="2:8" ht="12.75">
      <c r="B45">
        <v>1</v>
      </c>
      <c r="C45" t="s">
        <v>53</v>
      </c>
      <c r="E45" s="6">
        <v>1E-08</v>
      </c>
      <c r="F45" t="s">
        <v>54</v>
      </c>
      <c r="G45">
        <v>10</v>
      </c>
      <c r="H45" t="s">
        <v>55</v>
      </c>
    </row>
    <row r="46" spans="2:10" ht="12.75">
      <c r="B46">
        <v>1</v>
      </c>
      <c r="C46" t="s">
        <v>93</v>
      </c>
      <c r="E46" s="10">
        <v>1000</v>
      </c>
      <c r="F46" t="s">
        <v>20</v>
      </c>
      <c r="G46">
        <f>E46*E42</f>
        <v>3280</v>
      </c>
      <c r="H46" t="s">
        <v>21</v>
      </c>
      <c r="I46" s="17">
        <f>E47/G46</f>
        <v>1.6097560975609757</v>
      </c>
      <c r="J46" t="s">
        <v>94</v>
      </c>
    </row>
    <row r="47" spans="2:8" ht="12.75">
      <c r="B47">
        <v>1</v>
      </c>
      <c r="C47" t="s">
        <v>92</v>
      </c>
      <c r="E47" s="10">
        <v>5280</v>
      </c>
      <c r="F47" t="s">
        <v>21</v>
      </c>
      <c r="G47" s="18">
        <f>E47/G46</f>
        <v>1.6097560975609757</v>
      </c>
      <c r="H47" t="s">
        <v>95</v>
      </c>
    </row>
    <row r="48" ht="12.75">
      <c r="E48" s="6"/>
    </row>
    <row r="49" spans="2:5" ht="12.75">
      <c r="B49" t="s">
        <v>81</v>
      </c>
      <c r="E49" s="6"/>
    </row>
    <row r="50" spans="2:10" ht="12.75">
      <c r="B50">
        <v>1</v>
      </c>
      <c r="C50" t="s">
        <v>230</v>
      </c>
      <c r="E50" s="12">
        <f>$E$47^2</f>
        <v>27878400</v>
      </c>
      <c r="F50" t="s">
        <v>60</v>
      </c>
      <c r="G50" s="9">
        <f>$G$47^2</f>
        <v>2.5913146936347413</v>
      </c>
      <c r="H50" t="s">
        <v>242</v>
      </c>
      <c r="I50">
        <f>$E$50/$E$52</f>
        <v>640</v>
      </c>
      <c r="J50" t="s">
        <v>57</v>
      </c>
    </row>
    <row r="51" spans="2:8" ht="12.75">
      <c r="B51">
        <v>1</v>
      </c>
      <c r="C51" t="s">
        <v>58</v>
      </c>
      <c r="E51" s="12">
        <v>10000</v>
      </c>
      <c r="F51" t="s">
        <v>56</v>
      </c>
      <c r="G51" s="18">
        <v>2.471</v>
      </c>
      <c r="H51" t="s">
        <v>57</v>
      </c>
    </row>
    <row r="52" spans="2:10" ht="12.75">
      <c r="B52">
        <v>1</v>
      </c>
      <c r="C52" t="s">
        <v>59</v>
      </c>
      <c r="E52" s="12">
        <v>43560</v>
      </c>
      <c r="F52" t="s">
        <v>60</v>
      </c>
      <c r="G52">
        <v>0.4047</v>
      </c>
      <c r="H52" t="s">
        <v>58</v>
      </c>
      <c r="I52" s="9">
        <f>E52/3.28^2</f>
        <v>4048.929208804284</v>
      </c>
      <c r="J52" t="s">
        <v>316</v>
      </c>
    </row>
    <row r="53" spans="2:5" ht="12.75">
      <c r="B53" t="s">
        <v>83</v>
      </c>
      <c r="E53" s="12"/>
    </row>
    <row r="54" spans="2:10" ht="12.75">
      <c r="B54">
        <v>1</v>
      </c>
      <c r="C54" t="s">
        <v>67</v>
      </c>
      <c r="E54" s="6">
        <v>1000</v>
      </c>
      <c r="F54" t="s">
        <v>68</v>
      </c>
      <c r="G54" s="6">
        <f>E54/100^3</f>
        <v>0.001</v>
      </c>
      <c r="H54" t="s">
        <v>69</v>
      </c>
      <c r="I54">
        <v>0.264</v>
      </c>
      <c r="J54" t="s">
        <v>70</v>
      </c>
    </row>
    <row r="55" spans="2:12" ht="12.75">
      <c r="B55">
        <v>1</v>
      </c>
      <c r="C55" t="s">
        <v>71</v>
      </c>
      <c r="E55" s="8">
        <v>0.1337</v>
      </c>
      <c r="F55" t="s">
        <v>72</v>
      </c>
      <c r="G55">
        <v>3.885</v>
      </c>
      <c r="H55" t="s">
        <v>73</v>
      </c>
      <c r="I55" s="6">
        <f>E55/3.28^3</f>
        <v>0.0037888714978018324</v>
      </c>
      <c r="J55" t="s">
        <v>69</v>
      </c>
      <c r="K55">
        <f>1/42</f>
        <v>0.023809523809523808</v>
      </c>
      <c r="L55" t="s">
        <v>80</v>
      </c>
    </row>
    <row r="56" spans="2:12" ht="12.75">
      <c r="B56">
        <v>1</v>
      </c>
      <c r="C56" t="s">
        <v>75</v>
      </c>
      <c r="E56" s="8">
        <v>42</v>
      </c>
      <c r="F56" t="s">
        <v>71</v>
      </c>
      <c r="G56">
        <v>159.1</v>
      </c>
      <c r="H56" t="s">
        <v>73</v>
      </c>
      <c r="I56">
        <f>E56*E55</f>
        <v>5.6154</v>
      </c>
      <c r="J56" t="s">
        <v>72</v>
      </c>
      <c r="K56" s="6">
        <f>E56*I55</f>
        <v>0.15913260290767697</v>
      </c>
      <c r="L56" t="s">
        <v>74</v>
      </c>
    </row>
    <row r="57" spans="2:8" ht="12.75">
      <c r="B57">
        <v>1</v>
      </c>
      <c r="C57" t="s">
        <v>78</v>
      </c>
      <c r="E57" s="8">
        <v>128</v>
      </c>
      <c r="F57" t="s">
        <v>72</v>
      </c>
      <c r="G57">
        <v>3.624</v>
      </c>
      <c r="H57" t="s">
        <v>69</v>
      </c>
    </row>
    <row r="58" spans="2:10" ht="12.75">
      <c r="B58">
        <v>1</v>
      </c>
      <c r="C58" t="s">
        <v>79</v>
      </c>
      <c r="E58" s="12">
        <v>325804</v>
      </c>
      <c r="F58" t="s">
        <v>71</v>
      </c>
      <c r="G58" s="13">
        <f>E58*E55</f>
        <v>43559.99480000001</v>
      </c>
      <c r="H58" t="s">
        <v>72</v>
      </c>
      <c r="I58" s="13">
        <f>E58*I55</f>
        <v>1234.4294894698282</v>
      </c>
      <c r="J58" t="s">
        <v>69</v>
      </c>
    </row>
    <row r="59" spans="2:9" ht="12.75">
      <c r="B59" t="s">
        <v>84</v>
      </c>
      <c r="E59" s="12"/>
      <c r="G59" s="13"/>
      <c r="I59" s="13"/>
    </row>
    <row r="60" spans="2:9" ht="12.75">
      <c r="B60">
        <v>1</v>
      </c>
      <c r="C60" t="s">
        <v>85</v>
      </c>
      <c r="E60" s="16">
        <v>2.2046</v>
      </c>
      <c r="F60" t="s">
        <v>86</v>
      </c>
      <c r="G60" s="13"/>
      <c r="I60" s="13"/>
    </row>
    <row r="61" spans="2:9" ht="12.75">
      <c r="B61">
        <v>1</v>
      </c>
      <c r="C61" t="s">
        <v>87</v>
      </c>
      <c r="E61" s="12">
        <v>16</v>
      </c>
      <c r="F61" t="s">
        <v>88</v>
      </c>
      <c r="G61" s="17">
        <f>1/E60</f>
        <v>0.4535970244035199</v>
      </c>
      <c r="H61" t="s">
        <v>31</v>
      </c>
      <c r="I61" s="13"/>
    </row>
    <row r="62" spans="2:9" ht="12.75">
      <c r="B62">
        <v>1</v>
      </c>
      <c r="C62" t="s">
        <v>89</v>
      </c>
      <c r="E62" s="12">
        <v>2000</v>
      </c>
      <c r="F62" t="s">
        <v>87</v>
      </c>
      <c r="G62" s="13">
        <f>E62*G61</f>
        <v>907.1940488070398</v>
      </c>
      <c r="H62" t="s">
        <v>31</v>
      </c>
      <c r="I62" s="13"/>
    </row>
    <row r="63" spans="2:9" ht="12.75">
      <c r="B63">
        <v>1</v>
      </c>
      <c r="C63" t="s">
        <v>90</v>
      </c>
      <c r="E63" s="12">
        <v>1000</v>
      </c>
      <c r="F63" t="s">
        <v>85</v>
      </c>
      <c r="G63" s="19">
        <f>E63/G62</f>
        <v>1.1023</v>
      </c>
      <c r="H63" t="s">
        <v>91</v>
      </c>
      <c r="I63" s="13"/>
    </row>
    <row r="64" spans="2:9" ht="12.75">
      <c r="B64" t="s">
        <v>96</v>
      </c>
      <c r="E64" s="12"/>
      <c r="G64" s="19"/>
      <c r="I64" s="13"/>
    </row>
    <row r="65" spans="2:14" ht="12.75">
      <c r="B65">
        <v>1</v>
      </c>
      <c r="C65" t="s">
        <v>97</v>
      </c>
      <c r="E65" s="11">
        <f>(3*365+366)/4</f>
        <v>365.25</v>
      </c>
      <c r="F65" t="s">
        <v>98</v>
      </c>
      <c r="G65" s="13">
        <f>E65*24</f>
        <v>8766</v>
      </c>
      <c r="H65" t="s">
        <v>99</v>
      </c>
      <c r="I65" s="13">
        <f>G65*60</f>
        <v>525960</v>
      </c>
      <c r="J65" t="s">
        <v>100</v>
      </c>
      <c r="K65" s="13">
        <f>I65*60</f>
        <v>31557600</v>
      </c>
      <c r="L65" t="s">
        <v>102</v>
      </c>
      <c r="M65" s="14">
        <f>E65/7</f>
        <v>52.17857142857143</v>
      </c>
      <c r="N65" t="s">
        <v>103</v>
      </c>
    </row>
    <row r="66" spans="2:12" ht="12.75">
      <c r="B66">
        <v>1</v>
      </c>
      <c r="C66" t="s">
        <v>101</v>
      </c>
      <c r="E66" s="11">
        <f>E65/12</f>
        <v>30.4375</v>
      </c>
      <c r="F66" t="s">
        <v>98</v>
      </c>
      <c r="G66" s="14">
        <f>E66*24</f>
        <v>730.5</v>
      </c>
      <c r="H66" t="s">
        <v>99</v>
      </c>
      <c r="I66" s="13">
        <f>G66*60</f>
        <v>43830</v>
      </c>
      <c r="J66" t="s">
        <v>100</v>
      </c>
      <c r="K66" s="14">
        <f>M65/12</f>
        <v>4.348214285714286</v>
      </c>
      <c r="L66" t="s">
        <v>103</v>
      </c>
    </row>
    <row r="67" spans="5:9" ht="12.75">
      <c r="E67" s="12"/>
      <c r="G67" s="19"/>
      <c r="I67" s="13"/>
    </row>
    <row r="68" spans="5:9" ht="12.75">
      <c r="E68" s="12"/>
      <c r="G68" s="19"/>
      <c r="I68" s="13"/>
    </row>
    <row r="69" spans="5:9" ht="12.75">
      <c r="E69" s="12"/>
      <c r="G69" s="19"/>
      <c r="I69" s="13"/>
    </row>
    <row r="70" spans="5:9" ht="12.75">
      <c r="E70" s="12"/>
      <c r="G70" s="13"/>
      <c r="I70" s="13"/>
    </row>
    <row r="71" ht="12.75">
      <c r="G71" s="15"/>
    </row>
    <row r="72" ht="12.75">
      <c r="B72" t="s">
        <v>65</v>
      </c>
    </row>
    <row r="73" ht="12.75">
      <c r="B73" t="s">
        <v>113</v>
      </c>
    </row>
    <row r="74" spans="3:6" ht="12.75">
      <c r="C74" t="s">
        <v>114</v>
      </c>
      <c r="E74">
        <v>1.293</v>
      </c>
      <c r="F74" t="s">
        <v>115</v>
      </c>
    </row>
    <row r="75" spans="3:12" ht="12.75">
      <c r="C75" t="s">
        <v>116</v>
      </c>
      <c r="E75">
        <v>1</v>
      </c>
      <c r="F75" t="s">
        <v>120</v>
      </c>
      <c r="G75">
        <v>62.4</v>
      </c>
      <c r="H75" t="s">
        <v>117</v>
      </c>
      <c r="I75">
        <f>E75/(1000*0.01^3)</f>
        <v>999.9999999999998</v>
      </c>
      <c r="J75" t="s">
        <v>129</v>
      </c>
      <c r="K75" s="3">
        <f>I75*$I$55</f>
        <v>3.7888714978018316</v>
      </c>
      <c r="L75" t="s">
        <v>275</v>
      </c>
    </row>
    <row r="76" spans="3:6" ht="12.75">
      <c r="C76" t="s">
        <v>118</v>
      </c>
      <c r="E76">
        <v>0.72</v>
      </c>
      <c r="F76" t="s">
        <v>119</v>
      </c>
    </row>
    <row r="77" spans="3:6" ht="12.75">
      <c r="C77" t="s">
        <v>121</v>
      </c>
      <c r="E77">
        <v>0.85</v>
      </c>
      <c r="F77" t="s">
        <v>119</v>
      </c>
    </row>
    <row r="78" spans="3:6" ht="12.75">
      <c r="C78" t="s">
        <v>122</v>
      </c>
      <c r="E78">
        <v>0.5</v>
      </c>
      <c r="F78" t="s">
        <v>119</v>
      </c>
    </row>
    <row r="79" ht="12.75">
      <c r="C79" t="s">
        <v>123</v>
      </c>
    </row>
    <row r="80" spans="3:8" ht="12.75">
      <c r="C80" t="s">
        <v>124</v>
      </c>
      <c r="E80">
        <v>0.08988</v>
      </c>
      <c r="F80" t="s">
        <v>313</v>
      </c>
      <c r="G80" s="18">
        <f>1/E80</f>
        <v>11.125945705384957</v>
      </c>
      <c r="H80" t="s">
        <v>314</v>
      </c>
    </row>
    <row r="81" spans="3:6" ht="12.75">
      <c r="C81" t="s">
        <v>125</v>
      </c>
      <c r="E81">
        <v>70.8</v>
      </c>
      <c r="F81" t="s">
        <v>115</v>
      </c>
    </row>
    <row r="82" spans="3:5" ht="12.75">
      <c r="C82" t="s">
        <v>142</v>
      </c>
      <c r="E82" s="20">
        <f>E81/E80</f>
        <v>787.7169559412549</v>
      </c>
    </row>
    <row r="85" ht="12.75">
      <c r="B85" t="s">
        <v>66</v>
      </c>
    </row>
    <row r="86" spans="2:10" ht="12.75">
      <c r="B86">
        <v>1</v>
      </c>
      <c r="C86" t="s">
        <v>104</v>
      </c>
      <c r="E86" s="6">
        <v>6120000000</v>
      </c>
      <c r="F86" t="s">
        <v>6</v>
      </c>
      <c r="G86">
        <v>1700</v>
      </c>
      <c r="H86" t="s">
        <v>2</v>
      </c>
      <c r="I86" s="10">
        <f>G86*E23</f>
        <v>5800400</v>
      </c>
      <c r="J86" t="s">
        <v>38</v>
      </c>
    </row>
    <row r="87" spans="2:10" ht="12.75">
      <c r="B87">
        <v>1</v>
      </c>
      <c r="C87" t="s">
        <v>105</v>
      </c>
      <c r="E87" s="6">
        <v>28100000000</v>
      </c>
      <c r="F87" t="s">
        <v>6</v>
      </c>
      <c r="G87">
        <v>7800</v>
      </c>
      <c r="H87" t="s">
        <v>2</v>
      </c>
      <c r="I87" s="12">
        <v>26600000</v>
      </c>
      <c r="J87" t="s">
        <v>38</v>
      </c>
    </row>
    <row r="88" spans="2:10" ht="12.75">
      <c r="B88">
        <v>1</v>
      </c>
      <c r="C88" t="s">
        <v>106</v>
      </c>
      <c r="I88" s="12">
        <v>1035</v>
      </c>
      <c r="J88" t="s">
        <v>38</v>
      </c>
    </row>
    <row r="89" spans="2:10" ht="12.75">
      <c r="B89">
        <v>1000</v>
      </c>
      <c r="C89" t="s">
        <v>106</v>
      </c>
      <c r="E89" s="6">
        <v>1090000000</v>
      </c>
      <c r="F89" t="s">
        <v>6</v>
      </c>
      <c r="G89" s="21">
        <f>E89/(1000*3600)</f>
        <v>302.77777777777777</v>
      </c>
      <c r="H89" t="s">
        <v>2</v>
      </c>
      <c r="I89" s="6">
        <v>1035000</v>
      </c>
      <c r="J89" t="s">
        <v>38</v>
      </c>
    </row>
    <row r="90" spans="2:10" ht="12.75">
      <c r="B90">
        <v>1</v>
      </c>
      <c r="C90" t="s">
        <v>107</v>
      </c>
      <c r="E90" s="6">
        <v>132000000</v>
      </c>
      <c r="F90" t="s">
        <v>6</v>
      </c>
      <c r="G90">
        <v>36.6</v>
      </c>
      <c r="H90" t="s">
        <v>2</v>
      </c>
      <c r="I90" s="6">
        <v>125000</v>
      </c>
      <c r="J90" t="s">
        <v>38</v>
      </c>
    </row>
    <row r="92" ht="12.75">
      <c r="B92" s="7" t="s">
        <v>318</v>
      </c>
    </row>
    <row r="93" ht="12.75">
      <c r="B93" s="7"/>
    </row>
    <row r="94" ht="12.75">
      <c r="B94" s="7" t="s">
        <v>319</v>
      </c>
    </row>
    <row r="95" spans="2:10" ht="12.75">
      <c r="B95" s="5">
        <v>1</v>
      </c>
      <c r="C95" t="s">
        <v>138</v>
      </c>
      <c r="E95" s="12">
        <v>142203.9800995025</v>
      </c>
      <c r="F95" t="s">
        <v>139</v>
      </c>
      <c r="G95" s="9">
        <v>39.50110558319514</v>
      </c>
      <c r="H95" t="s">
        <v>2</v>
      </c>
      <c r="I95" s="12">
        <v>134777.77224986182</v>
      </c>
      <c r="J95" t="s">
        <v>38</v>
      </c>
    </row>
    <row r="96" spans="2:10" ht="12.75">
      <c r="B96" s="5">
        <v>1</v>
      </c>
      <c r="C96" t="s">
        <v>140</v>
      </c>
      <c r="E96" s="12">
        <v>53513.16537154561</v>
      </c>
      <c r="F96" t="s">
        <v>139</v>
      </c>
      <c r="G96" s="9">
        <v>14.86476815876267</v>
      </c>
      <c r="H96" t="s">
        <v>2</v>
      </c>
      <c r="I96" s="12">
        <v>50718.58895769823</v>
      </c>
      <c r="J96" t="s">
        <v>38</v>
      </c>
    </row>
    <row r="97" spans="2:10" ht="12.75">
      <c r="B97" s="5">
        <v>1</v>
      </c>
      <c r="C97" t="s">
        <v>141</v>
      </c>
      <c r="E97" s="12">
        <v>10603.604179104479</v>
      </c>
      <c r="F97" t="s">
        <v>139</v>
      </c>
      <c r="G97" s="9">
        <v>2.9454456053067997</v>
      </c>
      <c r="H97" t="s">
        <v>2</v>
      </c>
      <c r="I97" s="12">
        <v>10049.860405306801</v>
      </c>
      <c r="J97" t="s">
        <v>38</v>
      </c>
    </row>
    <row r="98" spans="2:10" ht="12.75">
      <c r="B98" s="5">
        <v>1</v>
      </c>
      <c r="C98" t="s">
        <v>143</v>
      </c>
      <c r="E98" s="12">
        <v>8352638.805970149</v>
      </c>
      <c r="F98" t="s">
        <v>139</v>
      </c>
      <c r="G98" s="9">
        <v>2320.177446102819</v>
      </c>
      <c r="H98" t="s">
        <v>2</v>
      </c>
      <c r="I98" s="12">
        <v>7916445.4461028185</v>
      </c>
      <c r="J98" t="s">
        <v>38</v>
      </c>
    </row>
    <row r="99" ht="12.75">
      <c r="B99" s="5"/>
    </row>
    <row r="100" ht="12.75">
      <c r="B100" s="7" t="s">
        <v>317</v>
      </c>
    </row>
    <row r="101" spans="2:8" ht="12.75">
      <c r="B101" s="5">
        <v>1</v>
      </c>
      <c r="C101" t="s">
        <v>141</v>
      </c>
      <c r="E101" s="12">
        <v>10603.604179104479</v>
      </c>
      <c r="F101" t="s">
        <v>40</v>
      </c>
      <c r="G101" s="9">
        <v>10.60360417910448</v>
      </c>
      <c r="H101" t="s">
        <v>145</v>
      </c>
    </row>
    <row r="102" spans="2:10" ht="12.75">
      <c r="B102" s="5">
        <v>1</v>
      </c>
      <c r="C102" t="s">
        <v>143</v>
      </c>
      <c r="E102" s="12">
        <v>8352638.805970149</v>
      </c>
      <c r="F102" t="s">
        <v>40</v>
      </c>
      <c r="G102" s="9">
        <v>8352.63880597015</v>
      </c>
      <c r="H102" t="s">
        <v>146</v>
      </c>
      <c r="I102" s="3">
        <v>8.35263880597015</v>
      </c>
      <c r="J102" t="s">
        <v>147</v>
      </c>
    </row>
    <row r="103" ht="12.75">
      <c r="B103" s="5"/>
    </row>
    <row r="107" ht="12.75">
      <c r="B107" t="s">
        <v>63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T61"/>
  <sheetViews>
    <sheetView workbookViewId="0" topLeftCell="A36">
      <selection activeCell="I43" sqref="I43"/>
    </sheetView>
  </sheetViews>
  <sheetFormatPr defaultColWidth="9.140625" defaultRowHeight="12.75"/>
  <cols>
    <col min="4" max="4" width="11.28125" style="0" bestFit="1" customWidth="1"/>
    <col min="5" max="5" width="10.28125" style="0" bestFit="1" customWidth="1"/>
    <col min="6" max="6" width="10.57421875" style="0" customWidth="1"/>
    <col min="7" max="7" width="13.421875" style="0" customWidth="1"/>
    <col min="9" max="9" width="4.28125" style="0" customWidth="1"/>
    <col min="10" max="10" width="5.7109375" style="0" customWidth="1"/>
    <col min="13" max="13" width="12.8515625" style="0" bestFit="1" customWidth="1"/>
    <col min="15" max="15" width="9.28125" style="0" bestFit="1" customWidth="1"/>
    <col min="17" max="17" width="11.28125" style="0" bestFit="1" customWidth="1"/>
    <col min="18" max="18" width="11.421875" style="0" customWidth="1"/>
  </cols>
  <sheetData>
    <row r="2" ht="18">
      <c r="B2" s="4" t="s">
        <v>214</v>
      </c>
    </row>
    <row r="6" ht="18">
      <c r="E6" s="4" t="s">
        <v>1</v>
      </c>
    </row>
    <row r="7" ht="12.75">
      <c r="J7" s="5" t="s">
        <v>132</v>
      </c>
    </row>
    <row r="8" spans="11:16" ht="12.75">
      <c r="K8" s="7" t="s">
        <v>126</v>
      </c>
      <c r="M8">
        <v>0.08988</v>
      </c>
      <c r="N8" t="s">
        <v>129</v>
      </c>
      <c r="O8">
        <f>1000*M8</f>
        <v>89.88</v>
      </c>
      <c r="P8" t="s">
        <v>130</v>
      </c>
    </row>
    <row r="9" spans="10:14" ht="12.75">
      <c r="J9">
        <v>1</v>
      </c>
      <c r="K9" t="s">
        <v>108</v>
      </c>
      <c r="M9">
        <v>2.01</v>
      </c>
      <c r="N9" t="s">
        <v>109</v>
      </c>
    </row>
    <row r="10" spans="11:18" ht="12.75">
      <c r="K10" t="s">
        <v>110</v>
      </c>
      <c r="M10">
        <v>285.83</v>
      </c>
      <c r="N10" t="s">
        <v>127</v>
      </c>
      <c r="O10" s="9">
        <f>M10/$M$9</f>
        <v>142.2039800995025</v>
      </c>
      <c r="P10" t="s">
        <v>128</v>
      </c>
      <c r="Q10" s="9">
        <f>O10*$O$8/3600</f>
        <v>3.550359369817579</v>
      </c>
      <c r="R10" t="s">
        <v>131</v>
      </c>
    </row>
    <row r="11" spans="11:20" ht="12.75">
      <c r="K11" t="s">
        <v>111</v>
      </c>
      <c r="M11">
        <v>237.13</v>
      </c>
      <c r="N11" t="s">
        <v>127</v>
      </c>
      <c r="O11" s="9">
        <f>M11/$M$9</f>
        <v>117.97512437810947</v>
      </c>
      <c r="P11" t="s">
        <v>128</v>
      </c>
      <c r="Q11" s="9">
        <f>O11*$O$8/3600</f>
        <v>2.9454456053067997</v>
      </c>
      <c r="R11" t="s">
        <v>181</v>
      </c>
      <c r="S11" s="9">
        <f>1000*O11/3600</f>
        <v>32.77086788280818</v>
      </c>
      <c r="T11" t="s">
        <v>182</v>
      </c>
    </row>
    <row r="13" ht="12.75">
      <c r="J13" s="5" t="s">
        <v>133</v>
      </c>
    </row>
    <row r="14" spans="11:14" ht="12.75">
      <c r="K14" t="s">
        <v>134</v>
      </c>
      <c r="M14">
        <v>1.23</v>
      </c>
      <c r="N14" t="s">
        <v>135</v>
      </c>
    </row>
    <row r="15" spans="11:14" ht="12.75">
      <c r="K15" t="s">
        <v>136</v>
      </c>
      <c r="M15" s="6">
        <v>-1.6E-19</v>
      </c>
      <c r="N15" t="s">
        <v>24</v>
      </c>
    </row>
    <row r="16" spans="11:13" ht="12.75">
      <c r="K16" t="s">
        <v>9</v>
      </c>
      <c r="M16" s="6">
        <v>6.023E+23</v>
      </c>
    </row>
    <row r="17" spans="11:13" ht="12.75">
      <c r="K17" t="s">
        <v>137</v>
      </c>
      <c r="M17">
        <v>2</v>
      </c>
    </row>
    <row r="18" spans="11:14" ht="12.75">
      <c r="K18" t="s">
        <v>111</v>
      </c>
      <c r="M18" s="3">
        <f>-M14*M15*M16*M17/1000</f>
        <v>237.06527999999997</v>
      </c>
      <c r="N18" t="s">
        <v>112</v>
      </c>
    </row>
    <row r="20" ht="12.75">
      <c r="J20" s="5" t="s">
        <v>176</v>
      </c>
    </row>
    <row r="21" spans="10:18" ht="12.75">
      <c r="J21">
        <v>1</v>
      </c>
      <c r="K21" t="s">
        <v>138</v>
      </c>
      <c r="M21" s="12">
        <f>O10*1000</f>
        <v>142203.9800995025</v>
      </c>
      <c r="N21" t="s">
        <v>139</v>
      </c>
      <c r="O21" s="14">
        <f>M21/3600</f>
        <v>39.50110558319514</v>
      </c>
      <c r="P21" t="s">
        <v>2</v>
      </c>
      <c r="Q21" s="13">
        <f>O21*3412</f>
        <v>134777.77224986182</v>
      </c>
      <c r="R21" t="s">
        <v>38</v>
      </c>
    </row>
    <row r="22" spans="10:18" ht="12.75">
      <c r="J22">
        <v>1</v>
      </c>
      <c r="K22" t="s">
        <v>140</v>
      </c>
      <c r="M22" s="12">
        <f>1000*O11/'Units, Constants &amp; Conversions'!E60</f>
        <v>53513.16537154561</v>
      </c>
      <c r="N22" t="s">
        <v>139</v>
      </c>
      <c r="O22" s="14">
        <f>M22/3600</f>
        <v>14.86476815876267</v>
      </c>
      <c r="P22" t="s">
        <v>2</v>
      </c>
      <c r="Q22" s="13">
        <f>O22*3412</f>
        <v>50718.58895769823</v>
      </c>
      <c r="R22" t="s">
        <v>38</v>
      </c>
    </row>
    <row r="23" spans="10:18" ht="12.75">
      <c r="J23">
        <v>1</v>
      </c>
      <c r="K23" t="s">
        <v>141</v>
      </c>
      <c r="M23" s="12">
        <f>O23*3600</f>
        <v>10603.604179104479</v>
      </c>
      <c r="N23" t="s">
        <v>139</v>
      </c>
      <c r="O23" s="9">
        <f>Q11</f>
        <v>2.9454456053067997</v>
      </c>
      <c r="P23" t="s">
        <v>2</v>
      </c>
      <c r="Q23" s="12">
        <f>O23*3412</f>
        <v>10049.860405306801</v>
      </c>
      <c r="R23" t="s">
        <v>38</v>
      </c>
    </row>
    <row r="24" spans="10:18" ht="12.75">
      <c r="J24">
        <v>1</v>
      </c>
      <c r="K24" t="s">
        <v>143</v>
      </c>
      <c r="M24" s="13">
        <f>M23*'Units, Constants &amp; Conversions'!E82</f>
        <v>8352638.805970149</v>
      </c>
      <c r="N24" t="s">
        <v>139</v>
      </c>
      <c r="O24" s="13">
        <f>M24/3600</f>
        <v>2320.177446102819</v>
      </c>
      <c r="P24" t="s">
        <v>2</v>
      </c>
      <c r="Q24" s="12">
        <f>O24*3412</f>
        <v>7916445.4461028185</v>
      </c>
      <c r="R24" t="s">
        <v>38</v>
      </c>
    </row>
    <row r="26" ht="12.75">
      <c r="J26" s="5" t="s">
        <v>144</v>
      </c>
    </row>
    <row r="27" spans="10:16" ht="12.75">
      <c r="J27">
        <v>1</v>
      </c>
      <c r="K27" t="s">
        <v>141</v>
      </c>
      <c r="M27" s="12">
        <v>10603.604179104479</v>
      </c>
      <c r="N27" t="s">
        <v>40</v>
      </c>
      <c r="O27" s="20">
        <f>M27/1000</f>
        <v>10.60360417910448</v>
      </c>
      <c r="P27" t="s">
        <v>145</v>
      </c>
    </row>
    <row r="28" spans="10:18" ht="12.75">
      <c r="J28">
        <v>1</v>
      </c>
      <c r="K28" t="s">
        <v>143</v>
      </c>
      <c r="M28" s="12">
        <v>8352638.805970149</v>
      </c>
      <c r="N28" t="s">
        <v>40</v>
      </c>
      <c r="O28" s="20">
        <f>M28/1000</f>
        <v>8352.63880597015</v>
      </c>
      <c r="P28" t="s">
        <v>146</v>
      </c>
      <c r="Q28" s="9">
        <f>O28/1000</f>
        <v>8.35263880597015</v>
      </c>
      <c r="R28" t="s">
        <v>147</v>
      </c>
    </row>
    <row r="29" ht="18">
      <c r="C29" s="4" t="s">
        <v>328</v>
      </c>
    </row>
    <row r="30" ht="12.75">
      <c r="J30" s="5" t="s">
        <v>270</v>
      </c>
    </row>
    <row r="31" spans="10:16" ht="12.75">
      <c r="J31">
        <v>1</v>
      </c>
      <c r="K31" t="s">
        <v>271</v>
      </c>
      <c r="O31" s="18">
        <f>15.9994+2*1.00797</f>
        <v>18.01534</v>
      </c>
      <c r="P31" t="s">
        <v>109</v>
      </c>
    </row>
    <row r="32" spans="10:16" ht="12.75">
      <c r="J32">
        <v>1</v>
      </c>
      <c r="K32" t="s">
        <v>272</v>
      </c>
      <c r="M32">
        <v>1</v>
      </c>
      <c r="N32" t="s">
        <v>108</v>
      </c>
      <c r="O32" s="18">
        <f>2*1.00797</f>
        <v>2.01594</v>
      </c>
      <c r="P32" t="s">
        <v>109</v>
      </c>
    </row>
    <row r="33" spans="11:15" ht="12.75">
      <c r="K33" t="s">
        <v>273</v>
      </c>
      <c r="O33" s="18">
        <f>O31/O32</f>
        <v>8.936446521225829</v>
      </c>
    </row>
    <row r="50" ht="13.5" thickBot="1"/>
    <row r="51" spans="2:7" ht="12.75">
      <c r="B51" s="106"/>
      <c r="C51" s="29"/>
      <c r="D51" s="29"/>
      <c r="E51" s="29"/>
      <c r="F51" s="29"/>
      <c r="G51" s="30"/>
    </row>
    <row r="52" spans="2:7" ht="12.75">
      <c r="B52" s="100" t="s">
        <v>331</v>
      </c>
      <c r="C52" s="32"/>
      <c r="D52" s="32"/>
      <c r="E52" s="32"/>
      <c r="F52" s="32"/>
      <c r="G52" s="34"/>
    </row>
    <row r="53" spans="2:7" ht="12.75">
      <c r="B53" s="31"/>
      <c r="C53" s="32"/>
      <c r="D53" s="32"/>
      <c r="E53" s="32"/>
      <c r="F53" s="32"/>
      <c r="G53" s="34"/>
    </row>
    <row r="54" spans="2:7" ht="12.75">
      <c r="B54" s="40" t="s">
        <v>329</v>
      </c>
      <c r="C54" s="32"/>
      <c r="D54" s="32"/>
      <c r="E54" s="32"/>
      <c r="F54" s="32"/>
      <c r="G54" s="34"/>
    </row>
    <row r="55" spans="2:7" ht="12.75">
      <c r="B55" s="101" t="s">
        <v>330</v>
      </c>
      <c r="C55" s="102" t="s">
        <v>332</v>
      </c>
      <c r="D55" s="102" t="s">
        <v>333</v>
      </c>
      <c r="E55" s="102" t="s">
        <v>334</v>
      </c>
      <c r="F55" s="102" t="s">
        <v>335</v>
      </c>
      <c r="G55" s="103" t="s">
        <v>336</v>
      </c>
    </row>
    <row r="56" spans="2:7" ht="13.5" thickBot="1">
      <c r="B56" s="37">
        <v>485</v>
      </c>
      <c r="C56" s="83">
        <f>B56*'Units, Constants &amp; Conversions'!$E$80</f>
        <v>43.5918</v>
      </c>
      <c r="D56" s="104">
        <f>B56*24</f>
        <v>11640</v>
      </c>
      <c r="E56" s="105">
        <f>24*C56</f>
        <v>1046.2032</v>
      </c>
      <c r="F56" s="38">
        <v>5</v>
      </c>
      <c r="G56" s="39">
        <f>F56^2</f>
        <v>25</v>
      </c>
    </row>
    <row r="58" spans="4:5" ht="12.75">
      <c r="D58" s="14"/>
      <c r="E58" s="14">
        <f>D58*G56</f>
        <v>0</v>
      </c>
    </row>
    <row r="61" ht="18">
      <c r="E61" s="4" t="s">
        <v>0</v>
      </c>
    </row>
  </sheetData>
  <hyperlinks>
    <hyperlink ref="B52" r:id="rId1" display="http://www.hydro.com/en/products/"/>
  </hyperlinks>
  <printOptions/>
  <pageMargins left="0.75" right="0.75" top="1" bottom="1" header="0.5" footer="0.5"/>
  <pageSetup horizontalDpi="300" verticalDpi="300" orientation="portrait" r:id="rId3"/>
  <drawing r:id="rId2"/>
</worksheet>
</file>

<file path=xl/worksheets/sheet4.xml><?xml version="1.0" encoding="utf-8"?>
<worksheet xmlns="http://schemas.openxmlformats.org/spreadsheetml/2006/main" xmlns:r="http://schemas.openxmlformats.org/officeDocument/2006/relationships">
  <dimension ref="B2:L51"/>
  <sheetViews>
    <sheetView tabSelected="1" workbookViewId="0" topLeftCell="A29">
      <selection activeCell="H28" sqref="H28"/>
    </sheetView>
  </sheetViews>
  <sheetFormatPr defaultColWidth="9.140625" defaultRowHeight="12.75"/>
  <cols>
    <col min="4" max="4" width="11.28125" style="0" bestFit="1" customWidth="1"/>
    <col min="6" max="6" width="13.421875" style="0" bestFit="1" customWidth="1"/>
    <col min="8" max="8" width="11.28125" style="0" bestFit="1" customWidth="1"/>
    <col min="12" max="12" width="10.28125" style="0" bestFit="1" customWidth="1"/>
  </cols>
  <sheetData>
    <row r="2" ht="18">
      <c r="B2" s="4" t="s">
        <v>213</v>
      </c>
    </row>
    <row r="4" ht="13.5" thickBot="1"/>
    <row r="5" spans="2:10" ht="18">
      <c r="B5" s="28" t="s">
        <v>188</v>
      </c>
      <c r="C5" s="29"/>
      <c r="D5" s="29"/>
      <c r="E5" s="29"/>
      <c r="F5" s="29"/>
      <c r="G5" s="29"/>
      <c r="H5" s="29"/>
      <c r="I5" s="29"/>
      <c r="J5" s="30"/>
    </row>
    <row r="6" spans="2:10" ht="12.75">
      <c r="B6" s="31" t="s">
        <v>189</v>
      </c>
      <c r="C6" s="32"/>
      <c r="D6" s="32">
        <v>803.8</v>
      </c>
      <c r="E6" s="32" t="s">
        <v>21</v>
      </c>
      <c r="F6" s="33">
        <f>D6/3.28</f>
        <v>245.0609756097561</v>
      </c>
      <c r="G6" s="32" t="s">
        <v>47</v>
      </c>
      <c r="H6" s="32"/>
      <c r="I6" s="32"/>
      <c r="J6" s="34"/>
    </row>
    <row r="7" spans="2:12" ht="12.75">
      <c r="B7" s="31" t="s">
        <v>190</v>
      </c>
      <c r="C7" s="32"/>
      <c r="D7" s="32">
        <v>135.1</v>
      </c>
      <c r="E7" s="32" t="s">
        <v>21</v>
      </c>
      <c r="F7" s="33">
        <f>D7/3.28</f>
        <v>41.1890243902439</v>
      </c>
      <c r="G7" s="32" t="s">
        <v>47</v>
      </c>
      <c r="H7" s="32"/>
      <c r="I7" s="32"/>
      <c r="J7" s="34"/>
      <c r="L7" s="6">
        <v>2450000000</v>
      </c>
    </row>
    <row r="8" spans="2:10" ht="12.75">
      <c r="B8" s="31" t="s">
        <v>191</v>
      </c>
      <c r="C8" s="32"/>
      <c r="D8" s="35">
        <v>7062100</v>
      </c>
      <c r="E8" s="32" t="s">
        <v>72</v>
      </c>
      <c r="F8" s="36">
        <f>D8/3.28^3</f>
        <v>200130.06286182735</v>
      </c>
      <c r="G8" s="32" t="s">
        <v>74</v>
      </c>
      <c r="H8" s="32"/>
      <c r="I8" s="32"/>
      <c r="J8" s="34"/>
    </row>
    <row r="9" spans="2:12" ht="12.75">
      <c r="B9" s="31"/>
      <c r="C9" s="32"/>
      <c r="D9" s="32"/>
      <c r="E9" s="32"/>
      <c r="F9" s="32"/>
      <c r="G9" s="32"/>
      <c r="H9" s="32"/>
      <c r="I9" s="32"/>
      <c r="J9" s="34"/>
      <c r="L9" s="14">
        <f>L7/F8</f>
        <v>12242.038826977809</v>
      </c>
    </row>
    <row r="10" spans="2:10" ht="12.75">
      <c r="B10" s="31"/>
      <c r="C10" s="32"/>
      <c r="D10" s="32"/>
      <c r="E10" s="32"/>
      <c r="F10" s="32"/>
      <c r="G10" s="32"/>
      <c r="H10" s="32"/>
      <c r="I10" s="32"/>
      <c r="J10" s="34"/>
    </row>
    <row r="11" spans="2:10" ht="12.75">
      <c r="B11" s="31"/>
      <c r="C11" s="32"/>
      <c r="D11" s="32"/>
      <c r="E11" s="32"/>
      <c r="F11" s="32"/>
      <c r="G11" s="32"/>
      <c r="H11" s="32"/>
      <c r="I11" s="32"/>
      <c r="J11" s="34"/>
    </row>
    <row r="12" spans="2:10" ht="12.75">
      <c r="B12" s="31"/>
      <c r="C12" s="32"/>
      <c r="D12" s="32"/>
      <c r="E12" s="32"/>
      <c r="F12" s="32"/>
      <c r="G12" s="32"/>
      <c r="H12" s="32"/>
      <c r="I12" s="32"/>
      <c r="J12" s="34"/>
    </row>
    <row r="13" spans="2:10" ht="12.75">
      <c r="B13" s="31"/>
      <c r="C13" s="32"/>
      <c r="D13" s="32"/>
      <c r="E13" s="32"/>
      <c r="F13" s="32"/>
      <c r="G13" s="32"/>
      <c r="H13" s="32"/>
      <c r="I13" s="32"/>
      <c r="J13" s="34"/>
    </row>
    <row r="14" spans="2:10" ht="12.75">
      <c r="B14" s="31"/>
      <c r="C14" s="32"/>
      <c r="D14" s="32"/>
      <c r="E14" s="32"/>
      <c r="F14" s="32"/>
      <c r="G14" s="32"/>
      <c r="H14" s="32"/>
      <c r="I14" s="32"/>
      <c r="J14" s="34"/>
    </row>
    <row r="15" spans="2:10" ht="12.75">
      <c r="B15" s="31"/>
      <c r="C15" s="32"/>
      <c r="D15" s="32"/>
      <c r="E15" s="32"/>
      <c r="F15" s="32"/>
      <c r="G15" s="32"/>
      <c r="H15" s="32"/>
      <c r="I15" s="32"/>
      <c r="J15" s="34"/>
    </row>
    <row r="16" spans="2:10" ht="12.75">
      <c r="B16" s="31"/>
      <c r="C16" s="32"/>
      <c r="D16" s="32"/>
      <c r="E16" s="32"/>
      <c r="F16" s="32"/>
      <c r="G16" s="32"/>
      <c r="H16" s="32"/>
      <c r="I16" s="32"/>
      <c r="J16" s="34"/>
    </row>
    <row r="17" spans="2:10" ht="12.75">
      <c r="B17" s="31"/>
      <c r="C17" s="32"/>
      <c r="D17" s="32"/>
      <c r="E17" s="32"/>
      <c r="F17" s="32"/>
      <c r="G17" s="32"/>
      <c r="H17" s="32"/>
      <c r="I17" s="32"/>
      <c r="J17" s="34"/>
    </row>
    <row r="18" spans="2:10" ht="12.75">
      <c r="B18" s="31"/>
      <c r="C18" s="32"/>
      <c r="D18" s="32"/>
      <c r="E18" s="32"/>
      <c r="F18" s="32"/>
      <c r="G18" s="32"/>
      <c r="H18" s="32"/>
      <c r="I18" s="32"/>
      <c r="J18" s="34"/>
    </row>
    <row r="19" spans="2:10" ht="12.75">
      <c r="B19" s="31"/>
      <c r="C19" s="32" t="s">
        <v>193</v>
      </c>
      <c r="D19" s="32"/>
      <c r="E19" s="32"/>
      <c r="F19" s="32"/>
      <c r="G19" s="32"/>
      <c r="H19" s="32"/>
      <c r="I19" s="32"/>
      <c r="J19" s="34"/>
    </row>
    <row r="20" spans="2:10" ht="13.5" thickBot="1">
      <c r="B20" s="37"/>
      <c r="C20" s="38"/>
      <c r="D20" s="38"/>
      <c r="E20" s="38"/>
      <c r="F20" s="38"/>
      <c r="G20" s="38"/>
      <c r="H20" s="38"/>
      <c r="I20" s="38"/>
      <c r="J20" s="39"/>
    </row>
    <row r="23" ht="13.5" thickBot="1"/>
    <row r="24" spans="2:10" ht="18">
      <c r="B24" s="28" t="s">
        <v>192</v>
      </c>
      <c r="C24" s="29"/>
      <c r="D24" s="29"/>
      <c r="E24" s="29"/>
      <c r="F24" s="29"/>
      <c r="G24" s="29"/>
      <c r="H24" s="29"/>
      <c r="I24" s="29"/>
      <c r="J24" s="30"/>
    </row>
    <row r="25" spans="2:10" ht="12.75">
      <c r="B25" s="40" t="s">
        <v>195</v>
      </c>
      <c r="C25" s="32"/>
      <c r="D25" s="32"/>
      <c r="E25" s="32"/>
      <c r="F25" s="32"/>
      <c r="G25" s="32"/>
      <c r="H25" s="32"/>
      <c r="I25" s="32"/>
      <c r="J25" s="34"/>
    </row>
    <row r="26" spans="2:12" ht="12.75">
      <c r="B26" s="31" t="s">
        <v>196</v>
      </c>
      <c r="C26" s="32"/>
      <c r="D26" s="36">
        <v>385265</v>
      </c>
      <c r="E26" s="32" t="s">
        <v>71</v>
      </c>
      <c r="F26" s="41">
        <f>D26*'Units, Constants &amp; Conversions'!$G$55</f>
        <v>1496754.525</v>
      </c>
      <c r="G26" s="32" t="s">
        <v>73</v>
      </c>
      <c r="H26" s="41">
        <f>D26*'Units, Constants &amp; Conversions'!$I$55</f>
        <v>1459.7195776006229</v>
      </c>
      <c r="I26" s="32" t="s">
        <v>197</v>
      </c>
      <c r="J26" s="34"/>
      <c r="L26">
        <v>230000000</v>
      </c>
    </row>
    <row r="27" spans="2:10" ht="12.75">
      <c r="B27" s="31"/>
      <c r="C27" s="32"/>
      <c r="D27" s="32"/>
      <c r="E27" s="32"/>
      <c r="F27" s="32"/>
      <c r="G27" s="32"/>
      <c r="H27" s="32"/>
      <c r="I27" s="32"/>
      <c r="J27" s="34"/>
    </row>
    <row r="28" spans="2:12" ht="12.75">
      <c r="B28" s="31"/>
      <c r="C28" s="32"/>
      <c r="D28" s="32"/>
      <c r="E28" s="32"/>
      <c r="F28" s="32"/>
      <c r="G28" s="32"/>
      <c r="H28" s="41">
        <f>H26*'Units, Constants &amp; Conversions'!$E$81</f>
        <v>103348.1460941241</v>
      </c>
      <c r="I28" s="32" t="s">
        <v>31</v>
      </c>
      <c r="J28" s="34"/>
      <c r="L28">
        <v>385265</v>
      </c>
    </row>
    <row r="29" spans="2:10" ht="12.75">
      <c r="B29" s="31"/>
      <c r="C29" s="32"/>
      <c r="D29" s="32"/>
      <c r="E29" s="32"/>
      <c r="F29" s="32"/>
      <c r="G29" s="32"/>
      <c r="H29" s="32"/>
      <c r="I29" s="32"/>
      <c r="J29" s="34"/>
    </row>
    <row r="30" spans="2:12" ht="12.75">
      <c r="B30" s="31"/>
      <c r="C30" s="32"/>
      <c r="D30" s="32"/>
      <c r="E30" s="32"/>
      <c r="F30" s="32"/>
      <c r="G30" s="32"/>
      <c r="H30" s="32"/>
      <c r="I30" s="32"/>
      <c r="J30" s="34"/>
      <c r="L30" s="6">
        <v>0.00379</v>
      </c>
    </row>
    <row r="31" spans="2:10" ht="12.75">
      <c r="B31" s="31"/>
      <c r="C31" s="32"/>
      <c r="D31" s="32"/>
      <c r="E31" s="32"/>
      <c r="F31" s="32"/>
      <c r="G31" s="32"/>
      <c r="H31" s="32"/>
      <c r="I31" s="32"/>
      <c r="J31" s="34"/>
    </row>
    <row r="32" spans="2:12" ht="12.75">
      <c r="B32" s="31"/>
      <c r="C32" s="32"/>
      <c r="D32" s="32"/>
      <c r="E32" s="32"/>
      <c r="F32" s="32"/>
      <c r="G32" s="32"/>
      <c r="H32" s="32"/>
      <c r="I32" s="32"/>
      <c r="J32" s="34"/>
      <c r="L32">
        <v>70.8</v>
      </c>
    </row>
    <row r="33" spans="2:10" ht="12.75">
      <c r="B33" s="31"/>
      <c r="C33" s="32"/>
      <c r="D33" s="32"/>
      <c r="E33" s="32"/>
      <c r="F33" s="32"/>
      <c r="G33" s="32"/>
      <c r="H33" s="32"/>
      <c r="I33" s="32"/>
      <c r="J33" s="34"/>
    </row>
    <row r="34" spans="2:12" ht="12.75">
      <c r="B34" s="31"/>
      <c r="C34" s="32"/>
      <c r="D34" s="32"/>
      <c r="E34" s="32"/>
      <c r="F34" s="32"/>
      <c r="G34" s="32"/>
      <c r="H34" s="32"/>
      <c r="I34" s="32"/>
      <c r="J34" s="34"/>
      <c r="L34" s="6">
        <f>L28*L30*L32</f>
        <v>103378.92798</v>
      </c>
    </row>
    <row r="35" spans="2:10" ht="12.75">
      <c r="B35" s="31"/>
      <c r="C35" s="32"/>
      <c r="D35" s="32"/>
      <c r="E35" s="32"/>
      <c r="F35" s="32"/>
      <c r="G35" s="32"/>
      <c r="H35" s="32"/>
      <c r="I35" s="32"/>
      <c r="J35" s="34"/>
    </row>
    <row r="36" spans="2:10" ht="12.75">
      <c r="B36" s="31"/>
      <c r="C36" s="32"/>
      <c r="D36" s="32"/>
      <c r="E36" s="32"/>
      <c r="F36" s="32"/>
      <c r="G36" s="32"/>
      <c r="H36" s="32"/>
      <c r="I36" s="32"/>
      <c r="J36" s="34"/>
    </row>
    <row r="37" spans="2:12" ht="12.75">
      <c r="B37" s="31"/>
      <c r="C37" s="32"/>
      <c r="D37" s="32"/>
      <c r="E37" s="32"/>
      <c r="F37" s="32"/>
      <c r="G37" s="32"/>
      <c r="H37" s="32"/>
      <c r="I37" s="32"/>
      <c r="J37" s="34"/>
      <c r="L37" s="6">
        <f>L26/L34</f>
        <v>2224.8247732313157</v>
      </c>
    </row>
    <row r="38" spans="2:10" ht="12.75">
      <c r="B38" s="31"/>
      <c r="C38" s="32"/>
      <c r="D38" s="32"/>
      <c r="E38" s="32"/>
      <c r="F38" s="32"/>
      <c r="G38" s="32"/>
      <c r="H38" s="32"/>
      <c r="I38" s="32"/>
      <c r="J38" s="34"/>
    </row>
    <row r="39" spans="2:10" ht="12.75">
      <c r="B39" s="31"/>
      <c r="C39" s="32"/>
      <c r="D39" s="32"/>
      <c r="E39" s="32"/>
      <c r="F39" s="32"/>
      <c r="G39" s="32"/>
      <c r="H39" s="32"/>
      <c r="I39" s="32"/>
      <c r="J39" s="34"/>
    </row>
    <row r="40" spans="2:10" ht="12.75">
      <c r="B40" s="31"/>
      <c r="C40" s="32"/>
      <c r="D40" s="32"/>
      <c r="E40" s="32"/>
      <c r="F40" s="32"/>
      <c r="G40" s="32"/>
      <c r="H40" s="32"/>
      <c r="I40" s="32"/>
      <c r="J40" s="34"/>
    </row>
    <row r="41" spans="2:10" ht="12.75">
      <c r="B41" s="31"/>
      <c r="C41" s="32"/>
      <c r="D41" s="32"/>
      <c r="E41" s="32"/>
      <c r="F41" s="32"/>
      <c r="G41" s="32"/>
      <c r="H41" s="32"/>
      <c r="I41" s="32"/>
      <c r="J41" s="34"/>
    </row>
    <row r="42" spans="2:10" ht="12.75">
      <c r="B42" s="31"/>
      <c r="C42" s="32"/>
      <c r="D42" s="32"/>
      <c r="E42" s="32"/>
      <c r="F42" s="32"/>
      <c r="G42" s="32"/>
      <c r="H42" s="32"/>
      <c r="I42" s="32"/>
      <c r="J42" s="34"/>
    </row>
    <row r="43" spans="2:10" ht="12.75">
      <c r="B43" s="31"/>
      <c r="C43" s="32"/>
      <c r="D43" s="32"/>
      <c r="E43" s="32"/>
      <c r="F43" s="32"/>
      <c r="G43" s="32"/>
      <c r="H43" s="32"/>
      <c r="I43" s="32"/>
      <c r="J43" s="34"/>
    </row>
    <row r="44" spans="2:10" ht="12.75">
      <c r="B44" s="31"/>
      <c r="C44" s="32"/>
      <c r="D44" s="32"/>
      <c r="E44" s="32"/>
      <c r="F44" s="32"/>
      <c r="G44" s="32"/>
      <c r="H44" s="32"/>
      <c r="I44" s="32"/>
      <c r="J44" s="34"/>
    </row>
    <row r="45" spans="2:10" ht="12.75">
      <c r="B45" s="31"/>
      <c r="C45" s="32"/>
      <c r="D45" s="32"/>
      <c r="E45" s="32"/>
      <c r="F45" s="32"/>
      <c r="G45" s="32"/>
      <c r="H45" s="32"/>
      <c r="I45" s="32"/>
      <c r="J45" s="34"/>
    </row>
    <row r="46" spans="2:10" ht="12.75">
      <c r="B46" s="31"/>
      <c r="C46" s="32"/>
      <c r="D46" s="32"/>
      <c r="E46" s="32"/>
      <c r="F46" s="32"/>
      <c r="G46" s="32"/>
      <c r="H46" s="32"/>
      <c r="I46" s="32"/>
      <c r="J46" s="34"/>
    </row>
    <row r="47" spans="2:10" ht="12.75">
      <c r="B47" s="31"/>
      <c r="C47" s="32"/>
      <c r="D47" s="32"/>
      <c r="E47" s="32"/>
      <c r="F47" s="32"/>
      <c r="G47" s="32"/>
      <c r="H47" s="32"/>
      <c r="I47" s="32"/>
      <c r="J47" s="34"/>
    </row>
    <row r="48" spans="2:10" ht="12.75">
      <c r="B48" s="31"/>
      <c r="C48" s="32"/>
      <c r="D48" s="32"/>
      <c r="E48" s="32"/>
      <c r="F48" s="32"/>
      <c r="G48" s="32"/>
      <c r="H48" s="32"/>
      <c r="I48" s="32"/>
      <c r="J48" s="34"/>
    </row>
    <row r="49" spans="2:10" ht="12.75">
      <c r="B49" s="31"/>
      <c r="C49" s="32" t="s">
        <v>194</v>
      </c>
      <c r="D49" s="32"/>
      <c r="E49" s="32"/>
      <c r="F49" s="32"/>
      <c r="G49" s="32"/>
      <c r="H49" s="32"/>
      <c r="I49" s="32"/>
      <c r="J49" s="34"/>
    </row>
    <row r="50" spans="2:10" ht="12.75">
      <c r="B50" s="31"/>
      <c r="C50" s="32"/>
      <c r="D50" s="32"/>
      <c r="E50" s="32"/>
      <c r="F50" s="32"/>
      <c r="G50" s="32"/>
      <c r="H50" s="32"/>
      <c r="I50" s="32"/>
      <c r="J50" s="34"/>
    </row>
    <row r="51" spans="2:10" ht="13.5" thickBot="1">
      <c r="B51" s="37"/>
      <c r="C51" s="38"/>
      <c r="D51" s="38"/>
      <c r="E51" s="38"/>
      <c r="F51" s="38"/>
      <c r="G51" s="38"/>
      <c r="H51" s="38"/>
      <c r="I51" s="38"/>
      <c r="J51" s="39"/>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2:M71"/>
  <sheetViews>
    <sheetView workbookViewId="0" topLeftCell="A51">
      <selection activeCell="F74" sqref="F74"/>
    </sheetView>
  </sheetViews>
  <sheetFormatPr defaultColWidth="9.140625" defaultRowHeight="12.75"/>
  <cols>
    <col min="5" max="5" width="12.8515625" style="0" bestFit="1" customWidth="1"/>
    <col min="6" max="6" width="10.28125" style="0" bestFit="1" customWidth="1"/>
    <col min="8" max="8" width="10.28125" style="0" bestFit="1" customWidth="1"/>
    <col min="9" max="9" width="11.28125" style="0" bestFit="1" customWidth="1"/>
    <col min="10" max="10" width="11.421875" style="0" customWidth="1"/>
    <col min="11" max="11" width="10.28125" style="0" customWidth="1"/>
    <col min="12" max="12" width="10.57421875" style="0" customWidth="1"/>
  </cols>
  <sheetData>
    <row r="2" ht="18">
      <c r="B2" s="4" t="s">
        <v>280</v>
      </c>
    </row>
    <row r="5" spans="2:10" ht="15.75">
      <c r="B5" s="46" t="s">
        <v>224</v>
      </c>
      <c r="C5" s="32"/>
      <c r="D5" s="32"/>
      <c r="E5" s="32"/>
      <c r="F5" s="32"/>
      <c r="G5" s="32"/>
      <c r="H5" s="32"/>
      <c r="I5" s="32"/>
      <c r="J5" s="32"/>
    </row>
    <row r="6" spans="2:10" ht="15.75">
      <c r="B6" s="46"/>
      <c r="C6" s="32"/>
      <c r="D6" s="32"/>
      <c r="E6" s="32"/>
      <c r="F6" s="32"/>
      <c r="G6" s="32"/>
      <c r="H6" s="32"/>
      <c r="I6" s="32"/>
      <c r="J6" s="32"/>
    </row>
    <row r="7" spans="2:10" ht="12.75">
      <c r="B7" s="48" t="s">
        <v>239</v>
      </c>
      <c r="C7" s="32"/>
      <c r="D7" s="32"/>
      <c r="E7" s="32"/>
      <c r="F7" s="32">
        <v>400</v>
      </c>
      <c r="G7" s="32" t="s">
        <v>147</v>
      </c>
      <c r="H7" s="32"/>
      <c r="I7" s="32"/>
      <c r="J7" s="32"/>
    </row>
    <row r="8" spans="2:10" ht="15.75">
      <c r="B8" s="46"/>
      <c r="C8" s="32"/>
      <c r="D8" s="32"/>
      <c r="E8" s="32"/>
      <c r="F8" s="32"/>
      <c r="G8" s="32"/>
      <c r="H8" s="32"/>
      <c r="I8" s="32"/>
      <c r="J8" s="32"/>
    </row>
    <row r="9" spans="2:10" ht="12.75">
      <c r="B9" s="48" t="s">
        <v>232</v>
      </c>
      <c r="C9" s="32"/>
      <c r="D9" s="32"/>
      <c r="E9" s="32"/>
      <c r="F9" s="32"/>
      <c r="G9" s="32"/>
      <c r="H9" s="32"/>
      <c r="I9" s="32"/>
      <c r="J9" s="32"/>
    </row>
    <row r="10" spans="2:9" ht="12.75">
      <c r="B10" s="44" t="s">
        <v>216</v>
      </c>
      <c r="C10" s="32"/>
      <c r="D10" s="32"/>
      <c r="E10" s="32"/>
      <c r="F10" s="32"/>
      <c r="G10" s="32"/>
      <c r="H10" s="32"/>
      <c r="I10" s="32"/>
    </row>
    <row r="11" spans="2:9" ht="12.75">
      <c r="B11" s="32" t="s">
        <v>217</v>
      </c>
      <c r="C11" s="32"/>
      <c r="D11" s="32">
        <v>1000</v>
      </c>
      <c r="E11" s="32" t="s">
        <v>218</v>
      </c>
      <c r="F11" s="47">
        <f>D11/3.28^2</f>
        <v>92.95062462819752</v>
      </c>
      <c r="G11" s="32" t="s">
        <v>225</v>
      </c>
      <c r="H11" s="32"/>
      <c r="I11" s="32"/>
    </row>
    <row r="12" spans="2:9" ht="12.75">
      <c r="B12" s="32" t="s">
        <v>219</v>
      </c>
      <c r="C12" s="32"/>
      <c r="D12" s="32">
        <v>0.1</v>
      </c>
      <c r="E12" s="45" t="s">
        <v>220</v>
      </c>
      <c r="F12" s="47">
        <f>F11*D12</f>
        <v>9.295062462819752</v>
      </c>
      <c r="G12" s="32" t="s">
        <v>222</v>
      </c>
      <c r="H12" s="32">
        <f>F12*3.28^2</f>
        <v>100</v>
      </c>
      <c r="I12" s="32" t="s">
        <v>226</v>
      </c>
    </row>
    <row r="13" spans="2:13" ht="12.75">
      <c r="B13" s="32" t="s">
        <v>221</v>
      </c>
      <c r="C13" s="32"/>
      <c r="D13" s="32">
        <v>0.2</v>
      </c>
      <c r="E13" s="45" t="s">
        <v>220</v>
      </c>
      <c r="F13" s="47">
        <f>F12*D13</f>
        <v>1.8590124925639504</v>
      </c>
      <c r="G13" s="32" t="s">
        <v>222</v>
      </c>
      <c r="H13" s="32">
        <f>F13*3.28^2</f>
        <v>20</v>
      </c>
      <c r="I13" s="32" t="s">
        <v>227</v>
      </c>
      <c r="J13" s="11">
        <f>F13*5280^2/1000000</f>
        <v>51.82629387269483</v>
      </c>
      <c r="K13" t="s">
        <v>228</v>
      </c>
      <c r="L13">
        <f>H13*1000^2/1000000</f>
        <v>20</v>
      </c>
      <c r="M13" t="s">
        <v>229</v>
      </c>
    </row>
    <row r="14" spans="2:10" ht="12.75">
      <c r="B14" s="32"/>
      <c r="C14" s="32"/>
      <c r="D14" s="32"/>
      <c r="E14" s="45"/>
      <c r="F14" s="47"/>
      <c r="G14" s="32"/>
      <c r="H14" s="32"/>
      <c r="I14" s="32"/>
      <c r="J14" s="11"/>
    </row>
    <row r="15" spans="2:12" ht="12.75">
      <c r="B15" s="49" t="s">
        <v>240</v>
      </c>
      <c r="C15" s="32"/>
      <c r="D15" s="32"/>
      <c r="E15" s="50">
        <f>1000*$F$7/J13</f>
        <v>7718.089990817262</v>
      </c>
      <c r="F15" s="47" t="s">
        <v>230</v>
      </c>
      <c r="G15" s="42">
        <f>E15^0.5</f>
        <v>87.85266069287408</v>
      </c>
      <c r="H15" s="32" t="s">
        <v>241</v>
      </c>
      <c r="I15" s="36">
        <f>1000*$F$7/L13</f>
        <v>20000</v>
      </c>
      <c r="J15" s="51" t="s">
        <v>242</v>
      </c>
      <c r="K15" s="14">
        <f>I15^0.5</f>
        <v>141.4213562373095</v>
      </c>
      <c r="L15" t="s">
        <v>243</v>
      </c>
    </row>
    <row r="16" spans="2:11" ht="12.75">
      <c r="B16" s="49" t="s">
        <v>266</v>
      </c>
      <c r="C16" s="32"/>
      <c r="D16" s="32"/>
      <c r="E16" s="50">
        <f>'Land Area Factoids'!$E$25+'Land Area Factoids'!$E$26</f>
        <v>7554.80625</v>
      </c>
      <c r="F16" s="47"/>
      <c r="G16" s="42"/>
      <c r="H16" s="32"/>
      <c r="I16" s="36"/>
      <c r="J16" s="51"/>
      <c r="K16" s="14"/>
    </row>
    <row r="17" spans="2:9" ht="12.75">
      <c r="B17" s="32"/>
      <c r="C17" s="32"/>
      <c r="D17" s="32"/>
      <c r="E17" s="32"/>
      <c r="F17" s="32"/>
      <c r="G17" s="32"/>
      <c r="H17" s="32"/>
      <c r="I17" s="32"/>
    </row>
    <row r="18" spans="2:10" ht="12.75">
      <c r="B18" s="32"/>
      <c r="C18" s="32"/>
      <c r="D18" s="32"/>
      <c r="E18" s="32"/>
      <c r="F18" s="32"/>
      <c r="G18" s="32"/>
      <c r="H18" s="32"/>
      <c r="I18" s="32"/>
      <c r="J18" s="32"/>
    </row>
    <row r="19" spans="2:10" ht="12.75">
      <c r="B19" s="48" t="s">
        <v>233</v>
      </c>
      <c r="C19" s="32"/>
      <c r="D19" s="32"/>
      <c r="E19" s="32"/>
      <c r="F19" s="32"/>
      <c r="G19" s="32"/>
      <c r="H19" s="32"/>
      <c r="I19" s="32"/>
      <c r="J19" s="32"/>
    </row>
    <row r="20" spans="2:10" ht="12.75">
      <c r="B20" s="44" t="s">
        <v>234</v>
      </c>
      <c r="C20" s="32"/>
      <c r="D20" s="32"/>
      <c r="E20" s="32"/>
      <c r="F20" s="32"/>
      <c r="G20" s="32"/>
      <c r="H20" s="32"/>
      <c r="I20" s="32"/>
      <c r="J20" s="32"/>
    </row>
    <row r="21" spans="2:10" ht="12.75">
      <c r="B21" s="32" t="s">
        <v>235</v>
      </c>
      <c r="C21" s="32"/>
      <c r="D21" s="32" t="s">
        <v>237</v>
      </c>
      <c r="E21" s="32">
        <v>1</v>
      </c>
      <c r="F21" s="32" t="s">
        <v>145</v>
      </c>
      <c r="G21" s="32"/>
      <c r="H21" s="32"/>
      <c r="I21" s="32"/>
      <c r="J21" s="32"/>
    </row>
    <row r="22" spans="2:10" ht="12.75">
      <c r="B22" s="49" t="s">
        <v>236</v>
      </c>
      <c r="C22" s="32"/>
      <c r="D22" s="32"/>
      <c r="E22" s="32">
        <v>1000</v>
      </c>
      <c r="F22" s="32" t="s">
        <v>21</v>
      </c>
      <c r="G22" s="47">
        <f>E22/3.28</f>
        <v>304.8780487804878</v>
      </c>
      <c r="H22" s="32" t="s">
        <v>47</v>
      </c>
      <c r="I22" s="32"/>
      <c r="J22" s="32"/>
    </row>
    <row r="23" spans="2:10" ht="12.75">
      <c r="B23" s="49" t="s">
        <v>238</v>
      </c>
      <c r="C23" s="32"/>
      <c r="D23" s="32"/>
      <c r="E23" s="32">
        <f>E21*1000000/E22^2</f>
        <v>1</v>
      </c>
      <c r="F23" s="32" t="s">
        <v>222</v>
      </c>
      <c r="G23" s="47">
        <f>E21*1000000/G22^2</f>
        <v>10.7584</v>
      </c>
      <c r="H23" s="32" t="s">
        <v>226</v>
      </c>
      <c r="I23" s="43"/>
      <c r="J23" s="32"/>
    </row>
    <row r="24" spans="2:10" ht="12.75">
      <c r="B24" s="49" t="s">
        <v>221</v>
      </c>
      <c r="C24" s="32"/>
      <c r="D24" s="32"/>
      <c r="E24" s="32">
        <v>0.3</v>
      </c>
      <c r="F24" s="32"/>
      <c r="G24" s="32"/>
      <c r="H24" s="32"/>
      <c r="I24" s="32"/>
      <c r="J24" s="32"/>
    </row>
    <row r="25" spans="2:12" ht="12.75">
      <c r="B25" s="49" t="s">
        <v>244</v>
      </c>
      <c r="C25" s="32"/>
      <c r="D25" s="32"/>
      <c r="E25" s="32">
        <f>E23*E24</f>
        <v>0.3</v>
      </c>
      <c r="F25" s="33" t="s">
        <v>222</v>
      </c>
      <c r="G25" s="47">
        <f>G23*E24</f>
        <v>3.2275199999999997</v>
      </c>
      <c r="H25" s="32" t="s">
        <v>218</v>
      </c>
      <c r="I25" s="47">
        <f>E25*5280^2/1000000</f>
        <v>8.36352</v>
      </c>
      <c r="J25" t="s">
        <v>228</v>
      </c>
      <c r="K25" s="9">
        <f>G25*1000^2/1000000</f>
        <v>3.2275199999999997</v>
      </c>
      <c r="L25" t="s">
        <v>229</v>
      </c>
    </row>
    <row r="26" spans="2:10" ht="12.75">
      <c r="B26" s="32"/>
      <c r="C26" s="32"/>
      <c r="D26" s="32"/>
      <c r="E26" s="32"/>
      <c r="F26" s="32"/>
      <c r="G26" s="32"/>
      <c r="H26" s="32"/>
      <c r="I26" s="32"/>
      <c r="J26" s="32"/>
    </row>
    <row r="27" spans="2:12" ht="12.75">
      <c r="B27" s="49" t="s">
        <v>240</v>
      </c>
      <c r="E27" s="12">
        <f>1000*$F$7/I25</f>
        <v>47826.75237220692</v>
      </c>
      <c r="F27" s="49" t="s">
        <v>230</v>
      </c>
      <c r="G27" s="14">
        <f>E27^0.5</f>
        <v>218.69328378394917</v>
      </c>
      <c r="H27" s="49" t="s">
        <v>241</v>
      </c>
      <c r="I27" s="12">
        <f>1000*$F$7/K25</f>
        <v>123934.16617093001</v>
      </c>
      <c r="J27" t="s">
        <v>242</v>
      </c>
      <c r="K27" s="14">
        <f>I27^0.5</f>
        <v>352.042847066845</v>
      </c>
      <c r="L27" t="s">
        <v>243</v>
      </c>
    </row>
    <row r="30" ht="12.75">
      <c r="B30" s="53" t="s">
        <v>281</v>
      </c>
    </row>
    <row r="39" ht="12.75">
      <c r="B39" s="53" t="s">
        <v>282</v>
      </c>
    </row>
    <row r="40" ht="12.75">
      <c r="B40" s="5" t="s">
        <v>289</v>
      </c>
    </row>
    <row r="62" spans="2:6" ht="12.75">
      <c r="B62" t="s">
        <v>283</v>
      </c>
      <c r="E62">
        <v>8000</v>
      </c>
      <c r="F62" t="s">
        <v>145</v>
      </c>
    </row>
    <row r="63" spans="2:11" ht="12.75">
      <c r="B63" t="s">
        <v>284</v>
      </c>
      <c r="D63">
        <v>2</v>
      </c>
      <c r="E63" t="s">
        <v>285</v>
      </c>
      <c r="F63">
        <v>0.75</v>
      </c>
      <c r="G63" t="s">
        <v>92</v>
      </c>
      <c r="H63">
        <f>D63*F63</f>
        <v>1.5</v>
      </c>
      <c r="I63" t="s">
        <v>230</v>
      </c>
      <c r="J63" s="9">
        <f>1.61*D63*1.61*F63</f>
        <v>3.8881500000000004</v>
      </c>
      <c r="K63" t="s">
        <v>231</v>
      </c>
    </row>
    <row r="64" spans="2:8" ht="12.75">
      <c r="B64" t="s">
        <v>238</v>
      </c>
      <c r="E64" s="9">
        <f>1000000*E62/(H63*5280^2)</f>
        <v>191.30700948882767</v>
      </c>
      <c r="F64" t="s">
        <v>222</v>
      </c>
      <c r="G64" s="9">
        <f>1000000*E62/(J63*1000^2)</f>
        <v>2057.5337885626836</v>
      </c>
      <c r="H64" t="s">
        <v>226</v>
      </c>
    </row>
    <row r="65" spans="2:5" ht="12.75">
      <c r="B65" t="s">
        <v>221</v>
      </c>
      <c r="E65">
        <v>0.9</v>
      </c>
    </row>
    <row r="66" spans="2:10" ht="12.75">
      <c r="B66" t="s">
        <v>286</v>
      </c>
      <c r="E66" s="9">
        <f>E64*E65</f>
        <v>172.1763085399449</v>
      </c>
      <c r="F66" t="s">
        <v>222</v>
      </c>
      <c r="G66" s="9">
        <f>G64*E65</f>
        <v>1851.7804097064154</v>
      </c>
      <c r="H66" t="s">
        <v>218</v>
      </c>
      <c r="I66" s="21">
        <f>E65*E62/H63</f>
        <v>4800</v>
      </c>
      <c r="J66" t="s">
        <v>287</v>
      </c>
    </row>
    <row r="68" spans="2:8" ht="12.75">
      <c r="B68" s="49" t="s">
        <v>240</v>
      </c>
      <c r="E68" s="9">
        <f>1000*$F$7/I66</f>
        <v>83.33333333333333</v>
      </c>
      <c r="F68" t="s">
        <v>230</v>
      </c>
      <c r="G68" s="9">
        <f>E68^0.5</f>
        <v>9.128709291752768</v>
      </c>
      <c r="H68" t="s">
        <v>288</v>
      </c>
    </row>
    <row r="71" ht="12.75">
      <c r="B71" s="53" t="s">
        <v>337</v>
      </c>
    </row>
  </sheetData>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2:Q35"/>
  <sheetViews>
    <sheetView workbookViewId="0" topLeftCell="H1">
      <selection activeCell="N14" sqref="N14"/>
    </sheetView>
  </sheetViews>
  <sheetFormatPr defaultColWidth="9.140625" defaultRowHeight="12.75"/>
  <cols>
    <col min="5" max="5" width="10.28125" style="0" bestFit="1" customWidth="1"/>
    <col min="6" max="6" width="9.57421875" style="0" bestFit="1" customWidth="1"/>
    <col min="10" max="10" width="10.57421875" style="0" bestFit="1" customWidth="1"/>
    <col min="11" max="11" width="12.00390625" style="0" customWidth="1"/>
    <col min="12" max="12" width="14.57421875" style="0" customWidth="1"/>
    <col min="13" max="13" width="12.7109375" style="0" customWidth="1"/>
    <col min="14" max="14" width="12.8515625" style="0" bestFit="1" customWidth="1"/>
    <col min="16" max="16" width="20.28125" style="0" bestFit="1" customWidth="1"/>
  </cols>
  <sheetData>
    <row r="2" ht="18">
      <c r="B2" s="4" t="s">
        <v>245</v>
      </c>
    </row>
    <row r="5" spans="2:9" ht="12.75">
      <c r="B5" s="53" t="s">
        <v>252</v>
      </c>
      <c r="I5" s="53" t="s">
        <v>278</v>
      </c>
    </row>
    <row r="6" spans="2:12" ht="12.75">
      <c r="B6" t="s">
        <v>246</v>
      </c>
      <c r="D6" s="12">
        <v>97818</v>
      </c>
      <c r="I6" s="5" t="s">
        <v>309</v>
      </c>
      <c r="J6" s="5"/>
      <c r="K6" s="24"/>
      <c r="L6" s="5"/>
    </row>
    <row r="7" spans="2:12" ht="12.75">
      <c r="B7" t="s">
        <v>247</v>
      </c>
      <c r="D7" s="12">
        <v>77358</v>
      </c>
      <c r="J7" s="21"/>
      <c r="K7" s="6"/>
      <c r="L7" s="6"/>
    </row>
    <row r="8" spans="2:15" ht="12.75">
      <c r="B8" t="s">
        <v>248</v>
      </c>
      <c r="D8" s="12">
        <v>54475</v>
      </c>
      <c r="M8" t="s">
        <v>299</v>
      </c>
      <c r="N8" s="12">
        <v>1645</v>
      </c>
      <c r="O8" t="s">
        <v>305</v>
      </c>
    </row>
    <row r="9" spans="2:15" ht="12.75">
      <c r="B9" t="s">
        <v>249</v>
      </c>
      <c r="D9" s="12">
        <v>70704</v>
      </c>
      <c r="M9" t="s">
        <v>300</v>
      </c>
      <c r="N9">
        <v>12</v>
      </c>
      <c r="O9" t="s">
        <v>301</v>
      </c>
    </row>
    <row r="10" spans="2:15" ht="12.75">
      <c r="B10" t="s">
        <v>250</v>
      </c>
      <c r="D10" s="12">
        <v>77121</v>
      </c>
      <c r="M10" t="s">
        <v>302</v>
      </c>
      <c r="N10">
        <v>22</v>
      </c>
      <c r="O10" t="s">
        <v>301</v>
      </c>
    </row>
    <row r="11" spans="2:15" ht="12.75">
      <c r="B11" t="s">
        <v>251</v>
      </c>
      <c r="D11" s="52">
        <v>114006</v>
      </c>
      <c r="M11" t="s">
        <v>303</v>
      </c>
      <c r="N11">
        <v>72</v>
      </c>
      <c r="O11" t="s">
        <v>301</v>
      </c>
    </row>
    <row r="12" spans="13:17" ht="12.75">
      <c r="M12" t="s">
        <v>304</v>
      </c>
      <c r="N12" s="12">
        <v>105000</v>
      </c>
      <c r="O12" t="s">
        <v>59</v>
      </c>
      <c r="P12" s="12">
        <f>N12*'Units, Constants &amp; Conversions'!$I$52</f>
        <v>425137566.9244498</v>
      </c>
      <c r="Q12" t="s">
        <v>316</v>
      </c>
    </row>
    <row r="13" spans="2:15" ht="12.75">
      <c r="B13" t="s">
        <v>253</v>
      </c>
      <c r="M13" t="s">
        <v>306</v>
      </c>
      <c r="N13" s="6">
        <v>39000000000000</v>
      </c>
      <c r="O13" t="s">
        <v>70</v>
      </c>
    </row>
    <row r="14" spans="13:17" ht="12.75">
      <c r="M14" t="s">
        <v>307</v>
      </c>
      <c r="N14" s="6">
        <v>1400000</v>
      </c>
      <c r="O14" t="s">
        <v>310</v>
      </c>
      <c r="P14">
        <v>0.1</v>
      </c>
      <c r="Q14" t="s">
        <v>308</v>
      </c>
    </row>
    <row r="17" spans="2:17" ht="12.75">
      <c r="B17" s="53" t="s">
        <v>265</v>
      </c>
      <c r="Q17" s="6"/>
    </row>
    <row r="18" spans="2:6" ht="12.75">
      <c r="B18" s="5" t="s">
        <v>263</v>
      </c>
      <c r="D18" s="54" t="s">
        <v>264</v>
      </c>
      <c r="E18" s="54" t="s">
        <v>223</v>
      </c>
      <c r="F18" s="24" t="s">
        <v>231</v>
      </c>
    </row>
    <row r="19" spans="2:6" ht="12.75">
      <c r="B19" t="s">
        <v>254</v>
      </c>
      <c r="D19" s="55">
        <v>309994</v>
      </c>
      <c r="E19" s="21">
        <f>D19/640</f>
        <v>484.365625</v>
      </c>
      <c r="F19" s="21">
        <f>E19*2.59</f>
        <v>1254.50696875</v>
      </c>
    </row>
    <row r="20" spans="2:6" ht="12.75">
      <c r="B20" t="s">
        <v>255</v>
      </c>
      <c r="D20" s="55">
        <v>1217403</v>
      </c>
      <c r="E20" s="21">
        <f aca="true" t="shared" si="0" ref="E20:E27">D20/640</f>
        <v>1902.1921875</v>
      </c>
      <c r="F20" s="21">
        <f aca="true" t="shared" si="1" ref="F20:F28">E20*2.59</f>
        <v>4926.677765625</v>
      </c>
    </row>
    <row r="21" spans="2:6" ht="12.75">
      <c r="B21" t="s">
        <v>256</v>
      </c>
      <c r="D21" s="55">
        <v>521490</v>
      </c>
      <c r="E21" s="21">
        <f t="shared" si="0"/>
        <v>814.828125</v>
      </c>
      <c r="F21" s="21">
        <f t="shared" si="1"/>
        <v>2110.40484375</v>
      </c>
    </row>
    <row r="22" spans="2:6" ht="12.75">
      <c r="B22" t="s">
        <v>257</v>
      </c>
      <c r="D22" s="55">
        <v>2219791</v>
      </c>
      <c r="E22" s="21">
        <f t="shared" si="0"/>
        <v>3468.4234375</v>
      </c>
      <c r="F22" s="21">
        <f t="shared" si="1"/>
        <v>8983.216703125</v>
      </c>
    </row>
    <row r="23" spans="2:6" ht="12.75">
      <c r="B23" t="s">
        <v>258</v>
      </c>
      <c r="D23" s="55">
        <v>761266</v>
      </c>
      <c r="E23" s="21">
        <f t="shared" si="0"/>
        <v>1189.478125</v>
      </c>
      <c r="F23" s="21">
        <f t="shared" si="1"/>
        <v>3080.74834375</v>
      </c>
    </row>
    <row r="24" spans="2:6" ht="12.75">
      <c r="B24" t="s">
        <v>261</v>
      </c>
      <c r="D24" s="55">
        <v>864411</v>
      </c>
      <c r="E24" s="21">
        <f t="shared" si="0"/>
        <v>1350.6421875</v>
      </c>
      <c r="F24" s="21">
        <f t="shared" si="1"/>
        <v>3498.163265625</v>
      </c>
    </row>
    <row r="25" spans="2:6" ht="12.75">
      <c r="B25" t="s">
        <v>259</v>
      </c>
      <c r="D25" s="55">
        <v>3340410</v>
      </c>
      <c r="E25" s="21">
        <f t="shared" si="0"/>
        <v>5219.390625</v>
      </c>
      <c r="F25" s="21">
        <f t="shared" si="1"/>
        <v>13518.22171875</v>
      </c>
    </row>
    <row r="26" spans="2:6" ht="12.75">
      <c r="B26" t="s">
        <v>260</v>
      </c>
      <c r="D26" s="55">
        <v>1494666</v>
      </c>
      <c r="E26" s="21">
        <f t="shared" si="0"/>
        <v>2335.415625</v>
      </c>
      <c r="F26" s="21">
        <f t="shared" si="1"/>
        <v>6048.72646875</v>
      </c>
    </row>
    <row r="27" spans="2:6" ht="12.75">
      <c r="B27" t="s">
        <v>267</v>
      </c>
      <c r="D27" s="55">
        <v>6075030</v>
      </c>
      <c r="E27" s="21">
        <f t="shared" si="0"/>
        <v>9492.234375</v>
      </c>
      <c r="F27" s="21">
        <f t="shared" si="1"/>
        <v>24584.88703125</v>
      </c>
    </row>
    <row r="28" spans="4:6" ht="12.75">
      <c r="D28" s="55"/>
      <c r="E28" s="21">
        <f>SUM(E19:E27)</f>
        <v>26256.9703125</v>
      </c>
      <c r="F28" s="21">
        <f t="shared" si="1"/>
        <v>68005.553109375</v>
      </c>
    </row>
    <row r="30" spans="2:17" ht="12.75">
      <c r="B30" s="56" t="s">
        <v>262</v>
      </c>
      <c r="I30" s="5" t="s">
        <v>311</v>
      </c>
      <c r="M30" t="s">
        <v>304</v>
      </c>
      <c r="N30" s="12">
        <v>1495666</v>
      </c>
      <c r="O30" t="s">
        <v>315</v>
      </c>
      <c r="P30" s="58">
        <f>'Units, Constants &amp; Conversions'!$I$52*N30</f>
        <v>6055845754.015468</v>
      </c>
      <c r="Q30" t="s">
        <v>316</v>
      </c>
    </row>
    <row r="31" spans="13:17" ht="12.75">
      <c r="M31" t="s">
        <v>312</v>
      </c>
      <c r="N31" s="6">
        <v>35200000000</v>
      </c>
      <c r="O31" t="s">
        <v>69</v>
      </c>
      <c r="P31" s="58">
        <f>N31/'Units, Constants &amp; Conversions'!$I$55</f>
        <v>9290365223635</v>
      </c>
      <c r="Q31" t="s">
        <v>277</v>
      </c>
    </row>
    <row r="34" spans="2:6" ht="12.75">
      <c r="B34" t="s">
        <v>268</v>
      </c>
      <c r="E34" s="57">
        <v>94251</v>
      </c>
      <c r="F34" s="57">
        <v>244110</v>
      </c>
    </row>
    <row r="35" spans="2:6" ht="12.75">
      <c r="B35" t="s">
        <v>269</v>
      </c>
      <c r="E35" s="12">
        <f>F35/2.59</f>
        <v>16638.22393822394</v>
      </c>
      <c r="F35" s="57">
        <v>43093</v>
      </c>
    </row>
  </sheetData>
  <hyperlinks>
    <hyperlink ref="B30" r:id="rId1" display="http://www.nps.gov/"/>
  </hyperlinks>
  <printOptions/>
  <pageMargins left="0.75" right="0.75" top="1" bottom="1" header="0.5" footer="0.5"/>
  <pageSetup orientation="portrait" paperSize="9"/>
  <drawing r:id="rId2"/>
</worksheet>
</file>

<file path=xl/worksheets/sheet7.xml><?xml version="1.0" encoding="utf-8"?>
<worksheet xmlns="http://schemas.openxmlformats.org/spreadsheetml/2006/main" xmlns:r="http://schemas.openxmlformats.org/officeDocument/2006/relationships">
  <dimension ref="C5:I18"/>
  <sheetViews>
    <sheetView workbookViewId="0" topLeftCell="A1">
      <selection activeCell="E5" sqref="E5:E16"/>
    </sheetView>
  </sheetViews>
  <sheetFormatPr defaultColWidth="9.140625" defaultRowHeight="12.75"/>
  <cols>
    <col min="3" max="3" width="12.57421875" style="0" customWidth="1"/>
  </cols>
  <sheetData>
    <row r="5" spans="3:5" ht="12.75">
      <c r="C5" t="s">
        <v>349</v>
      </c>
      <c r="D5">
        <v>5850</v>
      </c>
      <c r="E5" s="2">
        <f>D5/$D$18</f>
        <v>0.39</v>
      </c>
    </row>
    <row r="6" spans="3:5" ht="12.75">
      <c r="C6" t="s">
        <v>338</v>
      </c>
      <c r="D6" s="10">
        <v>1900</v>
      </c>
      <c r="E6" s="2">
        <f aca="true" t="shared" si="0" ref="E6:E16">D6/$D$18</f>
        <v>0.12666666666666668</v>
      </c>
    </row>
    <row r="7" spans="3:5" ht="12.75">
      <c r="C7" t="s">
        <v>339</v>
      </c>
      <c r="D7" s="10">
        <v>1500</v>
      </c>
      <c r="E7" s="2">
        <f t="shared" si="0"/>
        <v>0.1</v>
      </c>
    </row>
    <row r="8" spans="3:5" ht="12.75">
      <c r="C8" t="s">
        <v>340</v>
      </c>
      <c r="D8">
        <v>1500</v>
      </c>
      <c r="E8" s="2">
        <f t="shared" si="0"/>
        <v>0.1</v>
      </c>
    </row>
    <row r="9" spans="3:5" ht="12.75">
      <c r="C9" t="s">
        <v>341</v>
      </c>
      <c r="D9">
        <v>1380</v>
      </c>
      <c r="E9" s="2">
        <f t="shared" si="0"/>
        <v>0.092</v>
      </c>
    </row>
    <row r="10" spans="3:5" ht="12.75">
      <c r="C10" t="s">
        <v>342</v>
      </c>
      <c r="D10">
        <v>600</v>
      </c>
      <c r="E10" s="2">
        <f t="shared" si="0"/>
        <v>0.04</v>
      </c>
    </row>
    <row r="11" spans="3:9" ht="12.75">
      <c r="C11" t="s">
        <v>343</v>
      </c>
      <c r="D11">
        <v>530</v>
      </c>
      <c r="E11" s="2">
        <f t="shared" si="0"/>
        <v>0.035333333333333335</v>
      </c>
      <c r="I11">
        <f>9150-8830</f>
        <v>320</v>
      </c>
    </row>
    <row r="12" spans="3:5" ht="12.75">
      <c r="C12" t="s">
        <v>344</v>
      </c>
      <c r="D12">
        <v>450</v>
      </c>
      <c r="E12" s="2">
        <f t="shared" si="0"/>
        <v>0.03</v>
      </c>
    </row>
    <row r="13" spans="3:5" ht="12.75">
      <c r="C13" t="s">
        <v>345</v>
      </c>
      <c r="D13">
        <v>400</v>
      </c>
      <c r="E13" s="2">
        <f t="shared" si="0"/>
        <v>0.02666666666666667</v>
      </c>
    </row>
    <row r="14" spans="3:5" ht="12.75">
      <c r="C14" t="s">
        <v>346</v>
      </c>
      <c r="D14">
        <v>300</v>
      </c>
      <c r="E14" s="2">
        <f t="shared" si="0"/>
        <v>0.02</v>
      </c>
    </row>
    <row r="15" spans="3:5" ht="12.75">
      <c r="C15" t="s">
        <v>347</v>
      </c>
      <c r="D15">
        <v>270</v>
      </c>
      <c r="E15" s="2">
        <f t="shared" si="0"/>
        <v>0.018</v>
      </c>
    </row>
    <row r="16" spans="3:5" ht="12.75">
      <c r="C16" t="s">
        <v>348</v>
      </c>
      <c r="D16">
        <v>320</v>
      </c>
      <c r="E16" s="2">
        <f t="shared" si="0"/>
        <v>0.021333333333333333</v>
      </c>
    </row>
    <row r="17" ht="12.75">
      <c r="D17" s="10"/>
    </row>
    <row r="18" ht="12.75">
      <c r="D18">
        <f>SUM(D5:D17)</f>
        <v>15000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Grant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 Grant</dc:creator>
  <cp:keywords/>
  <dc:description/>
  <cp:lastModifiedBy>Paul M. Grant</cp:lastModifiedBy>
  <dcterms:created xsi:type="dcterms:W3CDTF">2003-02-12T03:31:46Z</dcterms:created>
  <dcterms:modified xsi:type="dcterms:W3CDTF">2003-07-14T20:22:29Z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